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updateLinks="never" autoCompressPictures="0"/>
  <mc:AlternateContent xmlns:mc="http://schemas.openxmlformats.org/markup-compatibility/2006">
    <mc:Choice Requires="x15">
      <x15ac:absPath xmlns:x15ac="http://schemas.microsoft.com/office/spreadsheetml/2010/11/ac" url="/Users/bradfritz1/Dropbox/BKF 128/Critical Folders/AATRU Website/Droplet Models/"/>
    </mc:Choice>
  </mc:AlternateContent>
  <bookViews>
    <workbookView xWindow="67820" yWindow="3320" windowWidth="23740" windowHeight="19740" tabRatio="785"/>
  </bookViews>
  <sheets>
    <sheet name="Atomization Model" sheetId="1" r:id="rId1"/>
    <sheet name="Model Parameters" sheetId="2" r:id="rId2"/>
    <sheet name="Reference Nozzles" sheetId="3" r:id="rId3"/>
    <sheet name="Nozzle Flow Rates" sheetId="4" r:id="rId4"/>
  </sheets>
  <definedNames>
    <definedName name="_xlnm._FilterDatabase" localSheetId="0" hidden="1">'Atomization Model'!$U$22:$U$25</definedName>
    <definedName name="_xlnm._FilterDatabase" localSheetId="1" hidden="1">'Model Parameters'!#REF!</definedName>
    <definedName name="_xlnm._FilterDatabase" localSheetId="2" hidden="1">'Reference Nozzles'!$D$1:$L$61</definedName>
    <definedName name="Airspeed">'Model Parameters'!$A$228:$P$246</definedName>
    <definedName name="Airspeeds">'Model Parameters'!$A$2:$B$16</definedName>
    <definedName name="Angle">'Model Parameters'!$A$207:$P$225</definedName>
    <definedName name="CCDFactors">'Model Parameters'!$A$29:$I$51</definedName>
    <definedName name="DV0.1">'Model Parameters'!$A$57:$P$75</definedName>
    <definedName name="DV0.5">'Model Parameters'!$A$78:$P$96</definedName>
    <definedName name="DV0.9">'Model Parameters'!$A$99:$P$117</definedName>
    <definedName name="Less100">'Model Parameters'!$A$121:$P$139</definedName>
    <definedName name="Less141">'Model Parameters'!$A$163:$P$181</definedName>
    <definedName name="Less200">'Model Parameters'!$A$142:$P$160</definedName>
    <definedName name="NFRTab">'Nozzle Flow Rates'!$C$2:$E$102</definedName>
    <definedName name="Orifice">'Model Parameters'!$A$186:$P$204</definedName>
    <definedName name="Press">'Model Parameters'!$A$250:$P$268</definedName>
    <definedName name="_xlnm.Print_Area" localSheetId="0">'Atomization Model'!$B$2:$T$45</definedName>
  </definedNames>
  <calcPr calcId="150001" concurrentCalc="0"/>
  <customWorkbookViews>
    <customWorkbookView name="Administrator - Personal View" guid="{CD17FB03-8870-11D2-8172-00C04FC29620}" mergeInterval="0" personalView="1" maximized="1" windowWidth="1276" windowHeight="835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2" l="1"/>
  <c r="F15" i="2"/>
  <c r="E17" i="2"/>
  <c r="F17" i="2"/>
  <c r="J14" i="2"/>
  <c r="E21" i="1"/>
  <c r="H10" i="3"/>
  <c r="J13" i="2"/>
  <c r="K13" i="2"/>
  <c r="E20" i="1"/>
  <c r="H9" i="3"/>
  <c r="J12" i="2"/>
  <c r="K12" i="2"/>
  <c r="E19" i="1"/>
  <c r="H8" i="3"/>
  <c r="C13" i="3"/>
  <c r="C14" i="3"/>
  <c r="B16" i="3"/>
  <c r="B15" i="3"/>
  <c r="C15" i="3"/>
  <c r="B14" i="3"/>
  <c r="B13" i="3"/>
  <c r="L22" i="4"/>
  <c r="L23" i="4"/>
  <c r="K14" i="4"/>
  <c r="K15" i="4"/>
  <c r="K16" i="4"/>
  <c r="C2" i="4"/>
  <c r="K18" i="4"/>
  <c r="L21" i="4"/>
  <c r="L18" i="4"/>
  <c r="L20" i="4"/>
  <c r="D41" i="1"/>
  <c r="O21" i="4"/>
  <c r="O20" i="4"/>
  <c r="D39" i="1"/>
  <c r="C100" i="4"/>
  <c r="C101" i="4"/>
  <c r="C10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D43" i="1"/>
  <c r="A250" i="2"/>
  <c r="M15" i="1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14" i="2"/>
  <c r="A252" i="2"/>
  <c r="E16" i="2"/>
  <c r="A251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02" i="2"/>
  <c r="A159" i="2"/>
  <c r="A137" i="2"/>
  <c r="A223" i="2"/>
  <c r="A73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F23" i="2"/>
  <c r="F22" i="2"/>
  <c r="A134" i="2"/>
  <c r="A135" i="2"/>
  <c r="A136" i="2"/>
  <c r="A241" i="2"/>
  <c r="A242" i="2"/>
  <c r="A243" i="2"/>
  <c r="A244" i="2"/>
  <c r="A220" i="2"/>
  <c r="A221" i="2"/>
  <c r="A222" i="2"/>
  <c r="A199" i="2"/>
  <c r="A200" i="2"/>
  <c r="A201" i="2"/>
  <c r="A112" i="2"/>
  <c r="A113" i="2"/>
  <c r="A114" i="2"/>
  <c r="A115" i="2"/>
  <c r="A91" i="2"/>
  <c r="A92" i="2"/>
  <c r="A93" i="2"/>
  <c r="A94" i="2"/>
  <c r="A72" i="2"/>
  <c r="A70" i="2"/>
  <c r="A71" i="2"/>
  <c r="A236" i="2"/>
  <c r="A237" i="2"/>
  <c r="A228" i="2"/>
  <c r="A229" i="2"/>
  <c r="A230" i="2"/>
  <c r="A231" i="2"/>
  <c r="A232" i="2"/>
  <c r="A233" i="2"/>
  <c r="A234" i="2"/>
  <c r="A235" i="2"/>
  <c r="A238" i="2"/>
  <c r="A239" i="2"/>
  <c r="A240" i="2"/>
  <c r="Q26" i="2"/>
  <c r="Q27" i="2"/>
  <c r="Q28" i="2"/>
  <c r="Q25" i="2"/>
  <c r="A172" i="2"/>
  <c r="A173" i="2"/>
  <c r="A164" i="2"/>
  <c r="A165" i="2"/>
  <c r="A166" i="2"/>
  <c r="A167" i="2"/>
  <c r="A168" i="2"/>
  <c r="A169" i="2"/>
  <c r="A170" i="2"/>
  <c r="A171" i="2"/>
  <c r="A174" i="2"/>
  <c r="A175" i="2"/>
  <c r="A176" i="2"/>
  <c r="A177" i="2"/>
  <c r="A178" i="2"/>
  <c r="A179" i="2"/>
  <c r="A180" i="2"/>
  <c r="A181" i="2"/>
  <c r="E10" i="2"/>
  <c r="E20" i="2"/>
  <c r="F20" i="2"/>
  <c r="E14" i="2"/>
  <c r="F14" i="2"/>
  <c r="F10" i="2"/>
  <c r="E21" i="2"/>
  <c r="F21" i="2"/>
  <c r="G10" i="2"/>
  <c r="E22" i="2"/>
  <c r="F16" i="2"/>
  <c r="H10" i="2"/>
  <c r="E23" i="2"/>
  <c r="I10" i="2"/>
  <c r="J10" i="2"/>
  <c r="K10" i="2"/>
  <c r="L10" i="2"/>
  <c r="M10" i="2"/>
  <c r="N10" i="2"/>
  <c r="O10" i="2"/>
  <c r="P10" i="2"/>
  <c r="Q10" i="2"/>
  <c r="R10" i="2"/>
  <c r="S10" i="2"/>
  <c r="J18" i="2"/>
  <c r="K18" i="2"/>
  <c r="E24" i="1"/>
  <c r="A99" i="2"/>
  <c r="A107" i="2"/>
  <c r="A108" i="2"/>
  <c r="A100" i="2"/>
  <c r="A101" i="2"/>
  <c r="A102" i="2"/>
  <c r="A103" i="2"/>
  <c r="A104" i="2"/>
  <c r="A105" i="2"/>
  <c r="A106" i="2"/>
  <c r="A109" i="2"/>
  <c r="A110" i="2"/>
  <c r="A111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A207" i="2"/>
  <c r="A215" i="2"/>
  <c r="A216" i="2"/>
  <c r="A208" i="2"/>
  <c r="A209" i="2"/>
  <c r="A210" i="2"/>
  <c r="A211" i="2"/>
  <c r="A212" i="2"/>
  <c r="A213" i="2"/>
  <c r="A214" i="2"/>
  <c r="A217" i="2"/>
  <c r="A218" i="2"/>
  <c r="A219" i="2"/>
  <c r="I15" i="1"/>
  <c r="S15" i="2"/>
  <c r="S16" i="2"/>
  <c r="S17" i="2"/>
  <c r="S18" i="2"/>
  <c r="S19" i="2"/>
  <c r="S20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P15" i="2"/>
  <c r="P16" i="2"/>
  <c r="P17" i="2"/>
  <c r="P18" i="2"/>
  <c r="P19" i="2"/>
  <c r="P20" i="2"/>
  <c r="P22" i="2"/>
  <c r="P23" i="2"/>
  <c r="P24" i="2"/>
  <c r="P25" i="2"/>
  <c r="P26" i="2"/>
  <c r="P27" i="2"/>
  <c r="P21" i="2"/>
  <c r="S22" i="2"/>
  <c r="S23" i="2"/>
  <c r="S24" i="2"/>
  <c r="S25" i="2"/>
  <c r="S26" i="2"/>
  <c r="S21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43" i="2"/>
  <c r="S9" i="2"/>
  <c r="K9" i="2"/>
  <c r="P9" i="2"/>
  <c r="G9" i="2"/>
  <c r="R9" i="2"/>
  <c r="J9" i="2"/>
  <c r="O9" i="2"/>
  <c r="Q9" i="2"/>
  <c r="I9" i="2"/>
  <c r="H9" i="2"/>
  <c r="N9" i="2"/>
  <c r="F9" i="2"/>
  <c r="M9" i="2"/>
  <c r="E9" i="2"/>
  <c r="L9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79" i="2"/>
  <c r="A80" i="2"/>
  <c r="A81" i="2"/>
  <c r="A82" i="2"/>
  <c r="A83" i="2"/>
  <c r="A84" i="2"/>
  <c r="A85" i="2"/>
  <c r="A86" i="2"/>
  <c r="A87" i="2"/>
  <c r="A88" i="2"/>
  <c r="A89" i="2"/>
  <c r="A90" i="2"/>
  <c r="A58" i="2"/>
  <c r="A59" i="2"/>
  <c r="A60" i="2"/>
  <c r="A61" i="2"/>
  <c r="A62" i="2"/>
  <c r="A63" i="2"/>
  <c r="A64" i="2"/>
  <c r="A65" i="2"/>
  <c r="A66" i="2"/>
  <c r="A67" i="2"/>
  <c r="A68" i="2"/>
  <c r="A69" i="2"/>
  <c r="P15" i="1"/>
  <c r="A121" i="2"/>
  <c r="F8" i="2"/>
  <c r="R8" i="2"/>
  <c r="A78" i="2"/>
  <c r="H6" i="2"/>
  <c r="R6" i="2"/>
  <c r="E6" i="2"/>
  <c r="A57" i="2"/>
  <c r="J5" i="2"/>
  <c r="L5" i="2"/>
  <c r="S5" i="2"/>
  <c r="F5" i="2"/>
  <c r="Q18" i="2"/>
  <c r="F15" i="1"/>
  <c r="E8" i="2"/>
  <c r="L6" i="2"/>
  <c r="N5" i="2"/>
  <c r="Q14" i="2"/>
  <c r="I14" i="1"/>
  <c r="J6" i="2"/>
  <c r="Q15" i="2"/>
  <c r="M6" i="2"/>
  <c r="K5" i="2"/>
  <c r="I6" i="2"/>
  <c r="G8" i="2"/>
  <c r="S14" i="2"/>
  <c r="Q23" i="2"/>
  <c r="K8" i="2"/>
  <c r="Q6" i="2"/>
  <c r="O8" i="2"/>
  <c r="Q22" i="2"/>
  <c r="R5" i="2"/>
  <c r="P6" i="2"/>
  <c r="N8" i="2"/>
  <c r="Q21" i="2"/>
  <c r="E5" i="2"/>
  <c r="J8" i="2"/>
  <c r="Q17" i="2"/>
  <c r="P8" i="2"/>
  <c r="H8" i="2"/>
  <c r="M5" i="2"/>
  <c r="S6" i="2"/>
  <c r="K6" i="2"/>
  <c r="Q8" i="2"/>
  <c r="I8" i="2"/>
  <c r="Q24" i="2"/>
  <c r="Q16" i="2"/>
  <c r="Q5" i="2"/>
  <c r="I5" i="2"/>
  <c r="O6" i="2"/>
  <c r="G6" i="2"/>
  <c r="M8" i="2"/>
  <c r="P14" i="2"/>
  <c r="Q20" i="2"/>
  <c r="P5" i="2"/>
  <c r="H5" i="2"/>
  <c r="N6" i="2"/>
  <c r="F6" i="2"/>
  <c r="L8" i="2"/>
  <c r="Q19" i="2"/>
  <c r="O5" i="2"/>
  <c r="G5" i="2"/>
  <c r="S8" i="2"/>
  <c r="J17" i="2"/>
  <c r="K17" i="2"/>
  <c r="E25" i="1"/>
  <c r="J16" i="2"/>
  <c r="K16" i="2"/>
  <c r="E23" i="1"/>
  <c r="N8" i="1"/>
  <c r="E28" i="1"/>
  <c r="E22" i="1"/>
  <c r="E26" i="1"/>
  <c r="E27" i="1"/>
  <c r="E29" i="1"/>
</calcChain>
</file>

<file path=xl/sharedStrings.xml><?xml version="1.0" encoding="utf-8"?>
<sst xmlns="http://schemas.openxmlformats.org/spreadsheetml/2006/main" count="445" uniqueCount="174">
  <si>
    <t>30 to 90</t>
  </si>
  <si>
    <t xml:space="preserve"> </t>
  </si>
  <si>
    <t>µm</t>
  </si>
  <si>
    <t>RS =</t>
  </si>
  <si>
    <t xml:space="preserve"> = Relative Span</t>
  </si>
  <si>
    <t>%</t>
  </si>
  <si>
    <t xml:space="preserve"> = Percentage of spray volume in droplets smaller than 100 µm diameter.</t>
  </si>
  <si>
    <t xml:space="preserve">CAUTION: Do not enter or clear data in the cells in this box! </t>
  </si>
  <si>
    <t>%V&lt;100µm</t>
  </si>
  <si>
    <t>%V&lt;100µm =</t>
  </si>
  <si>
    <t>%V&lt;200µm =</t>
  </si>
  <si>
    <t>Cumulative Volume Fraction</t>
  </si>
  <si>
    <t>Selection</t>
  </si>
  <si>
    <r>
      <t>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 xml:space="preserve"> =</t>
    </r>
  </si>
  <si>
    <r>
      <t xml:space="preserve"> = Droplet size such that 10% of the spray volume is in droplets smaller than 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>.</t>
    </r>
  </si>
  <si>
    <r>
      <t>D</t>
    </r>
    <r>
      <rPr>
        <b/>
        <vertAlign val="subscript"/>
        <sz val="10"/>
        <color indexed="63"/>
        <rFont val="Arial"/>
        <family val="2"/>
      </rPr>
      <t>V0.5</t>
    </r>
    <r>
      <rPr>
        <b/>
        <sz val="10"/>
        <color indexed="63"/>
        <rFont val="Arial"/>
        <family val="2"/>
      </rPr>
      <t xml:space="preserve"> =</t>
    </r>
  </si>
  <si>
    <r>
      <t>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 xml:space="preserve"> =</t>
    </r>
  </si>
  <si>
    <r>
      <t xml:space="preserve"> = Droplet size such that 90% of the spray volume is in droplets smaller than 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>.</t>
    </r>
  </si>
  <si>
    <r>
      <t xml:space="preserve"> = Droplet Spectra Classification based on 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>.</t>
    </r>
  </si>
  <si>
    <r>
      <t xml:space="preserve"> = Droplet Spectra Classification based on D</t>
    </r>
    <r>
      <rPr>
        <b/>
        <vertAlign val="subscript"/>
        <sz val="10"/>
        <color indexed="63"/>
        <rFont val="Arial"/>
        <family val="2"/>
      </rPr>
      <t>V0.5</t>
    </r>
    <r>
      <rPr>
        <b/>
        <sz val="10"/>
        <color indexed="63"/>
        <rFont val="Arial"/>
        <family val="2"/>
      </rPr>
      <t>.</t>
    </r>
  </si>
  <si>
    <t>DSC =</t>
  </si>
  <si>
    <t>Models Available</t>
  </si>
  <si>
    <t>VALID FOR AIRSPEEDS FROM</t>
  </si>
  <si>
    <t>Airspeed Ranges</t>
  </si>
  <si>
    <t>Calculation Block</t>
  </si>
  <si>
    <t>DV0.1</t>
  </si>
  <si>
    <t>DV0.5</t>
  </si>
  <si>
    <t>Active Model Parameters</t>
  </si>
  <si>
    <t>DV0.9</t>
  </si>
  <si>
    <t>Orifice</t>
  </si>
  <si>
    <t>Angle</t>
  </si>
  <si>
    <t>Airspeed</t>
  </si>
  <si>
    <t xml:space="preserve">  Orifice Size</t>
  </si>
  <si>
    <t>Nozzle Angle</t>
  </si>
  <si>
    <t xml:space="preserve">   Airspeed</t>
  </si>
  <si>
    <t xml:space="preserve">  Pressure</t>
  </si>
  <si>
    <t>Columns</t>
  </si>
  <si>
    <t>Pressure</t>
  </si>
  <si>
    <t>VF/F</t>
  </si>
  <si>
    <t>F/M</t>
  </si>
  <si>
    <t>M/C</t>
  </si>
  <si>
    <t>C/VC</t>
  </si>
  <si>
    <t>VC/XC</t>
  </si>
  <si>
    <t>DSCV0.1</t>
  </si>
  <si>
    <t>DSCV0.5</t>
  </si>
  <si>
    <t>DSC</t>
  </si>
  <si>
    <t>STEP 1: SELECT NOZZLE MODEL USING PULL DOWN MENU</t>
  </si>
  <si>
    <t xml:space="preserve">STEP 2: SELECT NOZZLE OPERATING PARAMETERS FROM PULLDOWN MENUS BELOW.  </t>
  </si>
  <si>
    <t>Acceptable Ranges:</t>
  </si>
  <si>
    <r>
      <t>DSC</t>
    </r>
    <r>
      <rPr>
        <b/>
        <vertAlign val="subscript"/>
        <sz val="11"/>
        <color indexed="63"/>
        <rFont val="Arial"/>
        <family val="2"/>
      </rPr>
      <t>V0.1</t>
    </r>
    <r>
      <rPr>
        <b/>
        <sz val="11"/>
        <color indexed="63"/>
        <rFont val="Arial"/>
        <family val="2"/>
      </rPr>
      <t xml:space="preserve"> =</t>
    </r>
  </si>
  <si>
    <r>
      <t>DSC</t>
    </r>
    <r>
      <rPr>
        <b/>
        <vertAlign val="subscript"/>
        <sz val="11"/>
        <color indexed="63"/>
        <rFont val="Arial"/>
        <family val="2"/>
      </rPr>
      <t>V0.5</t>
    </r>
    <r>
      <rPr>
        <b/>
        <sz val="11"/>
        <color indexed="63"/>
        <rFont val="Arial"/>
        <family val="2"/>
      </rPr>
      <t xml:space="preserve"> =</t>
    </r>
  </si>
  <si>
    <t>Orf</t>
  </si>
  <si>
    <t>Ang</t>
  </si>
  <si>
    <t>Press</t>
  </si>
  <si>
    <t>AS</t>
  </si>
  <si>
    <t>Intercept</t>
  </si>
  <si>
    <t>Orf*Press</t>
  </si>
  <si>
    <t>Orf*AS</t>
  </si>
  <si>
    <t>AS*Press</t>
  </si>
  <si>
    <t>Orf*Ang</t>
  </si>
  <si>
    <t>AS*Ang</t>
  </si>
  <si>
    <t>Press*Ang</t>
  </si>
  <si>
    <t>Orf^2</t>
  </si>
  <si>
    <t>AS^2</t>
  </si>
  <si>
    <t>Press^</t>
  </si>
  <si>
    <t>Ang^2</t>
  </si>
  <si>
    <t>Orf*CCD</t>
  </si>
  <si>
    <t>AS*CCD</t>
  </si>
  <si>
    <t>Press*CCD</t>
  </si>
  <si>
    <t>Ang*CCD</t>
  </si>
  <si>
    <t>CCDSub</t>
  </si>
  <si>
    <t>CCDDiv</t>
  </si>
  <si>
    <t>CCD Factors</t>
  </si>
  <si>
    <t>Orf Sub</t>
  </si>
  <si>
    <t>Orf Div</t>
  </si>
  <si>
    <t>AS Sub</t>
  </si>
  <si>
    <t>AS Div</t>
  </si>
  <si>
    <t>Press Sub</t>
  </si>
  <si>
    <t>Press Div</t>
  </si>
  <si>
    <t xml:space="preserve">Ang Sub </t>
  </si>
  <si>
    <t>Ang Div</t>
  </si>
  <si>
    <t xml:space="preserve">Actual </t>
  </si>
  <si>
    <t>CCD Adjusted</t>
  </si>
  <si>
    <t>4 to 20</t>
  </si>
  <si>
    <t>4 to 30</t>
  </si>
  <si>
    <t>Deflector</t>
  </si>
  <si>
    <t>2 to 16</t>
  </si>
  <si>
    <t>2 to 10</t>
  </si>
  <si>
    <r>
      <t>CP11TT 20</t>
    </r>
    <r>
      <rPr>
        <sz val="10"/>
        <rFont val="Calibri"/>
        <family val="2"/>
      </rPr>
      <t>°</t>
    </r>
    <r>
      <rPr>
        <sz val="10"/>
        <rFont val="Arial"/>
      </rPr>
      <t xml:space="preserve"> Flat Fan</t>
    </r>
  </si>
  <si>
    <t>CP11TT 80° Flat Fan</t>
  </si>
  <si>
    <t>CP03</t>
  </si>
  <si>
    <t>CP11TT 40° Flat Fan</t>
  </si>
  <si>
    <t>Steel Disc Core 45</t>
  </si>
  <si>
    <t>2 to 30</t>
  </si>
  <si>
    <t>0.062 to 0.172</t>
  </si>
  <si>
    <t>CP11TT Straight Stream</t>
  </si>
  <si>
    <t>6 to 25</t>
  </si>
  <si>
    <t>0 to 45</t>
  </si>
  <si>
    <t>2 to 12</t>
  </si>
  <si>
    <t>0.062 to 0.125</t>
  </si>
  <si>
    <t>Ceramic Disc Core 45</t>
  </si>
  <si>
    <t>%V&lt;200µm</t>
  </si>
  <si>
    <t xml:space="preserve"> = Percentage of spray volume in droplets smaller than 200 µm diameter.</t>
  </si>
  <si>
    <r>
      <t>DSC</t>
    </r>
    <r>
      <rPr>
        <b/>
        <vertAlign val="subscript"/>
        <sz val="11"/>
        <color indexed="63"/>
        <rFont val="Arial"/>
        <family val="2"/>
      </rPr>
      <t>V0.9</t>
    </r>
    <r>
      <rPr>
        <b/>
        <sz val="11"/>
        <color indexed="63"/>
        <rFont val="Arial"/>
        <family val="2"/>
      </rPr>
      <t xml:space="preserve"> =</t>
    </r>
  </si>
  <si>
    <t>DSCV0.9</t>
  </si>
  <si>
    <r>
      <t>THE 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 xml:space="preserve"> CLASSIFICATION SHOWN IS FOR REFERENCE ONLY, DOES NOT IMPACT DSC RATING.</t>
    </r>
  </si>
  <si>
    <t xml:space="preserve"> = Volume median diameter.  Droplet size such that 50% of the spray volume is in droplets smaller than DV0.5.</t>
  </si>
  <si>
    <t>Nozzle Body Angle</t>
  </si>
  <si>
    <r>
      <t>D</t>
    </r>
    <r>
      <rPr>
        <b/>
        <vertAlign val="subscript"/>
        <sz val="12"/>
        <color indexed="63"/>
        <rFont val="Arial"/>
        <family val="2"/>
      </rPr>
      <t>V0.1</t>
    </r>
    <r>
      <rPr>
        <b/>
        <sz val="12"/>
        <color indexed="63"/>
        <rFont val="Arial"/>
        <family val="2"/>
      </rPr>
      <t xml:space="preserve"> =</t>
    </r>
  </si>
  <si>
    <r>
      <t>D</t>
    </r>
    <r>
      <rPr>
        <b/>
        <vertAlign val="subscript"/>
        <sz val="12"/>
        <color indexed="63"/>
        <rFont val="Arial"/>
        <family val="2"/>
      </rPr>
      <t>V0.5</t>
    </r>
    <r>
      <rPr>
        <b/>
        <sz val="12"/>
        <color indexed="63"/>
        <rFont val="Arial"/>
        <family val="2"/>
      </rPr>
      <t xml:space="preserve"> =</t>
    </r>
  </si>
  <si>
    <r>
      <t>D</t>
    </r>
    <r>
      <rPr>
        <b/>
        <vertAlign val="subscript"/>
        <sz val="12"/>
        <color indexed="63"/>
        <rFont val="Arial"/>
        <family val="2"/>
      </rPr>
      <t>V0.9</t>
    </r>
    <r>
      <rPr>
        <b/>
        <sz val="12"/>
        <color indexed="63"/>
        <rFont val="Arial"/>
        <family val="2"/>
      </rPr>
      <t xml:space="preserve"> =</t>
    </r>
  </si>
  <si>
    <t xml:space="preserve"> = ASABE S572.1 Droplet Spectra Classification</t>
  </si>
  <si>
    <t>The reference nozzle data below was measured in accordance with the ANSI/ASAE S572.1 "Spray Nozzle Classification by Droplet Spectra" Standard.</t>
  </si>
  <si>
    <t>The reference boundaries represent the mean data plus 1 standard deviation for DV0.1, DV0.5 and DV0.9 point for each DSC.</t>
  </si>
  <si>
    <t>Aerial Application Technology Research Unit, Agricultural Research Service, U. S. Department of Agriculture, 3103 F&amp;B Road, College Station, TX 77845, USA.</t>
  </si>
  <si>
    <t>%Vol&lt;141um</t>
  </si>
  <si>
    <t>%V&lt;141µm</t>
  </si>
  <si>
    <t>%V&lt;141µm =</t>
  </si>
  <si>
    <t xml:space="preserve"> = Percentage of spray volume in droplets smaller than 141 µm diameter.</t>
  </si>
  <si>
    <t>Standard 40° Flat Fan</t>
  </si>
  <si>
    <t>Standard 80° Flat Fan</t>
  </si>
  <si>
    <t>Steel Disc Core Straight Stream</t>
  </si>
  <si>
    <t>Ceramic Disc Core Straight Stream</t>
  </si>
  <si>
    <t>30 to 60 psi</t>
  </si>
  <si>
    <t>50 to 120 MPH</t>
  </si>
  <si>
    <t>0 to 15</t>
  </si>
  <si>
    <t>70 to 120 MPH</t>
  </si>
  <si>
    <t>CP09 Deflection Angles Only</t>
  </si>
  <si>
    <t>Davidon TriSet Deflection Angles Only</t>
  </si>
  <si>
    <t>5 and 30</t>
  </si>
  <si>
    <t>22.5 and 45</t>
  </si>
  <si>
    <t>CP09 Straight Stream Only</t>
  </si>
  <si>
    <t>Davidon TriSet Straight Stream Only</t>
  </si>
  <si>
    <t>0 Only</t>
  </si>
  <si>
    <t>For airspeeds below the stated ranged, use droplet size data associated with the lowest allowed airspeed.</t>
  </si>
  <si>
    <t>.094 to .279</t>
  </si>
  <si>
    <t>0.061 to 0.125</t>
  </si>
  <si>
    <t>CP11TT 20° Flat Fan</t>
  </si>
  <si>
    <t>USDA ARS  Aerial Application Technology Research Unit Low Speed Spray Nozzle Models</t>
  </si>
  <si>
    <t>STEP 3: ENTER SPRAY RATE AND SWATH WIDTH</t>
  </si>
  <si>
    <t>GPA</t>
  </si>
  <si>
    <t>ENTER DESIRED SPRAY RATE IN GALLONS PER ACRE (GPA)</t>
  </si>
  <si>
    <t>Feet</t>
  </si>
  <si>
    <t>ENTER DESIRED SWATH WIDTH IN FEET</t>
  </si>
  <si>
    <t>GPM</t>
  </si>
  <si>
    <t>Total Boom Flow Rate</t>
  </si>
  <si>
    <t>Per Nozzle Flow Rate at Selected Operating Conditions</t>
  </si>
  <si>
    <t>Nozzles</t>
  </si>
  <si>
    <t>Total Number of Nozzle Needed</t>
  </si>
  <si>
    <t>Nozzles - FR = a*(P)^b</t>
  </si>
  <si>
    <t>Helper</t>
  </si>
  <si>
    <t>a</t>
  </si>
  <si>
    <t>b</t>
  </si>
  <si>
    <t>Steel Disc Core 46</t>
  </si>
  <si>
    <t>Steel Disc Core 47</t>
  </si>
  <si>
    <t>Steel Disc Core 48</t>
  </si>
  <si>
    <t>Steel Disc Core 49</t>
  </si>
  <si>
    <t>Steel Disc Core 50</t>
  </si>
  <si>
    <t>Steel Disc Core 51</t>
  </si>
  <si>
    <t>Steel Disc Core 52</t>
  </si>
  <si>
    <t>Ceramic Disc Core 46</t>
  </si>
  <si>
    <t>Ceramic Disc Core 47</t>
  </si>
  <si>
    <t>Ceramic Disc Core 48</t>
  </si>
  <si>
    <t>Ceramic Disc Core 49</t>
  </si>
  <si>
    <r>
      <t>CP11TT 110</t>
    </r>
    <r>
      <rPr>
        <sz val="10"/>
        <rFont val="Calibri"/>
        <family val="2"/>
      </rPr>
      <t>°</t>
    </r>
    <r>
      <rPr>
        <sz val="10"/>
        <rFont val="Arial"/>
      </rPr>
      <t xml:space="preserve"> Flat Fan</t>
    </r>
  </si>
  <si>
    <t>4, 6, 8</t>
  </si>
  <si>
    <t>CP11TT 110° Flat Fan</t>
  </si>
  <si>
    <t>Nozzle</t>
  </si>
  <si>
    <t>NFR</t>
  </si>
  <si>
    <t>BFR</t>
  </si>
  <si>
    <t>swath</t>
  </si>
  <si>
    <t>SR</t>
  </si>
  <si>
    <t xml:space="preserve">  DISCLAIMER: Nozzle numbers provided do not imply swath uniformity or coverage.  Applicators are encouraged to attend an Operation S.A.F.E. Clinic.</t>
  </si>
  <si>
    <t>XC/UC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</si>
</sst>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0.0"/>
  </numFmts>
  <fonts count="46" x14ac:knownFonts="1">
    <font>
      <sz val="10"/>
      <name val="Arial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b/>
      <vertAlign val="subscript"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6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7"/>
      <name val="Arial"/>
      <family val="2"/>
    </font>
    <font>
      <sz val="7"/>
      <name val="Helvetica"/>
      <family val="2"/>
    </font>
    <font>
      <b/>
      <sz val="12"/>
      <color rgb="FF00206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C00000"/>
      <name val="Arial"/>
      <family val="2"/>
    </font>
    <font>
      <b/>
      <sz val="11"/>
      <color indexed="63"/>
      <name val="Arial"/>
      <family val="2"/>
    </font>
    <font>
      <b/>
      <vertAlign val="subscript"/>
      <sz val="11"/>
      <color indexed="63"/>
      <name val="Arial"/>
      <family val="2"/>
    </font>
    <font>
      <b/>
      <sz val="11"/>
      <color indexed="63"/>
      <name val="Comic Sans MS"/>
      <family val="4"/>
    </font>
    <font>
      <sz val="11"/>
      <color indexed="63"/>
      <name val="Arial"/>
      <family val="2"/>
    </font>
    <font>
      <sz val="10"/>
      <name val="Calibri"/>
      <family val="2"/>
    </font>
    <font>
      <b/>
      <sz val="12"/>
      <color indexed="63"/>
      <name val="Arial"/>
      <family val="2"/>
    </font>
    <font>
      <b/>
      <vertAlign val="subscript"/>
      <sz val="12"/>
      <color indexed="6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5"/>
      <name val="Arial"/>
      <family val="2"/>
    </font>
    <font>
      <sz val="12"/>
      <color indexed="9"/>
      <name val="Arial"/>
      <family val="2"/>
    </font>
    <font>
      <sz val="12"/>
      <color indexed="63"/>
      <name val="Arial"/>
      <family val="2"/>
    </font>
    <font>
      <i/>
      <sz val="14"/>
      <color rgb="FFFF000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42">
    <xf numFmtId="0" fontId="0" fillId="0" borderId="0"/>
    <xf numFmtId="164" fontId="1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47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/>
    <xf numFmtId="2" fontId="1" fillId="2" borderId="0" xfId="0" applyNumberFormat="1" applyFont="1" applyFill="1" applyBorder="1"/>
    <xf numFmtId="0" fontId="4" fillId="2" borderId="0" xfId="0" applyFont="1" applyFill="1" applyAlignment="1">
      <alignment horizontal="center" textRotation="90"/>
    </xf>
    <xf numFmtId="0" fontId="5" fillId="2" borderId="0" xfId="0" applyFont="1" applyFill="1" applyBorder="1"/>
    <xf numFmtId="0" fontId="0" fillId="2" borderId="0" xfId="0" applyFill="1" applyProtection="1"/>
    <xf numFmtId="0" fontId="0" fillId="2" borderId="0" xfId="0" applyFill="1" applyBorder="1" applyProtection="1"/>
    <xf numFmtId="0" fontId="0" fillId="0" borderId="0" xfId="0" applyProtection="1"/>
    <xf numFmtId="0" fontId="5" fillId="2" borderId="0" xfId="0" applyFont="1" applyFill="1"/>
    <xf numFmtId="2" fontId="6" fillId="2" borderId="0" xfId="0" applyNumberFormat="1" applyFont="1" applyFill="1"/>
    <xf numFmtId="0" fontId="14" fillId="0" borderId="0" xfId="0" applyFont="1" applyFill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0" borderId="4" xfId="0" applyBorder="1"/>
    <xf numFmtId="0" fontId="0" fillId="0" borderId="8" xfId="0" applyBorder="1"/>
    <xf numFmtId="0" fontId="0" fillId="3" borderId="0" xfId="0" applyFill="1" applyBorder="1"/>
    <xf numFmtId="0" fontId="0" fillId="3" borderId="0" xfId="0" applyFill="1" applyProtection="1"/>
    <xf numFmtId="0" fontId="0" fillId="3" borderId="0" xfId="0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" fillId="3" borderId="0" xfId="0" applyFont="1" applyFill="1" applyBorder="1"/>
    <xf numFmtId="2" fontId="1" fillId="3" borderId="0" xfId="0" applyNumberFormat="1" applyFont="1" applyFill="1" applyBorder="1"/>
    <xf numFmtId="0" fontId="0" fillId="4" borderId="0" xfId="0" applyFill="1" applyBorder="1"/>
    <xf numFmtId="0" fontId="0" fillId="4" borderId="0" xfId="0" applyFill="1"/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Protection="1"/>
    <xf numFmtId="0" fontId="0" fillId="4" borderId="3" xfId="0" applyFill="1" applyBorder="1"/>
    <xf numFmtId="0" fontId="10" fillId="4" borderId="0" xfId="0" applyFont="1" applyFill="1" applyBorder="1" applyProtection="1"/>
    <xf numFmtId="0" fontId="11" fillId="4" borderId="0" xfId="0" applyFont="1" applyFill="1" applyBorder="1" applyProtection="1"/>
    <xf numFmtId="0" fontId="11" fillId="4" borderId="0" xfId="0" applyFont="1" applyFill="1" applyBorder="1"/>
    <xf numFmtId="0" fontId="11" fillId="4" borderId="6" xfId="0" applyFont="1" applyFill="1" applyBorder="1"/>
    <xf numFmtId="0" fontId="7" fillId="4" borderId="0" xfId="0" applyFont="1" applyFill="1" applyBorder="1" applyAlignment="1"/>
    <xf numFmtId="0" fontId="18" fillId="4" borderId="2" xfId="0" applyFont="1" applyFill="1" applyBorder="1" applyProtection="1"/>
    <xf numFmtId="0" fontId="18" fillId="4" borderId="2" xfId="0" applyFont="1" applyFill="1" applyBorder="1"/>
    <xf numFmtId="0" fontId="19" fillId="4" borderId="2" xfId="0" applyFont="1" applyFill="1" applyBorder="1"/>
    <xf numFmtId="0" fontId="14" fillId="0" borderId="0" xfId="0" applyFont="1"/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0" fillId="0" borderId="1" xfId="0" applyBorder="1"/>
    <xf numFmtId="0" fontId="14" fillId="0" borderId="5" xfId="0" applyFont="1" applyBorder="1"/>
    <xf numFmtId="0" fontId="14" fillId="0" borderId="7" xfId="0" applyFont="1" applyBorder="1"/>
    <xf numFmtId="0" fontId="0" fillId="0" borderId="10" xfId="0" applyBorder="1"/>
    <xf numFmtId="0" fontId="15" fillId="0" borderId="1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14" fillId="0" borderId="0" xfId="0" applyFont="1" applyBorder="1"/>
    <xf numFmtId="0" fontId="22" fillId="0" borderId="10" xfId="0" applyFont="1" applyFill="1" applyBorder="1" applyAlignment="1">
      <alignment vertical="center" wrapText="1"/>
    </xf>
    <xf numFmtId="0" fontId="14" fillId="0" borderId="11" xfId="0" applyFont="1" applyBorder="1"/>
    <xf numFmtId="0" fontId="14" fillId="0" borderId="12" xfId="0" applyFont="1" applyBorder="1"/>
    <xf numFmtId="0" fontId="22" fillId="0" borderId="5" xfId="0" applyFont="1" applyBorder="1" applyAlignment="1">
      <alignment vertical="center" wrapText="1"/>
    </xf>
    <xf numFmtId="0" fontId="14" fillId="0" borderId="6" xfId="0" applyFont="1" applyBorder="1"/>
    <xf numFmtId="0" fontId="22" fillId="0" borderId="7" xfId="0" applyFont="1" applyBorder="1" applyAlignment="1">
      <alignment vertical="center" wrapText="1"/>
    </xf>
    <xf numFmtId="0" fontId="14" fillId="0" borderId="4" xfId="0" applyFont="1" applyBorder="1"/>
    <xf numFmtId="0" fontId="14" fillId="0" borderId="8" xfId="0" applyFont="1" applyBorder="1"/>
    <xf numFmtId="0" fontId="1" fillId="0" borderId="10" xfId="0" applyFont="1" applyBorder="1"/>
    <xf numFmtId="0" fontId="10" fillId="0" borderId="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0" fontId="14" fillId="0" borderId="4" xfId="0" applyFont="1" applyFill="1" applyBorder="1"/>
    <xf numFmtId="0" fontId="14" fillId="0" borderId="2" xfId="0" applyFont="1" applyFill="1" applyBorder="1"/>
    <xf numFmtId="0" fontId="14" fillId="0" borderId="2" xfId="0" applyFont="1" applyBorder="1"/>
    <xf numFmtId="0" fontId="14" fillId="0" borderId="3" xfId="0" applyFont="1" applyBorder="1"/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4" borderId="0" xfId="0" applyFill="1" applyProtection="1"/>
    <xf numFmtId="0" fontId="14" fillId="4" borderId="0" xfId="0" applyFont="1" applyFill="1"/>
    <xf numFmtId="0" fontId="14" fillId="4" borderId="0" xfId="0" applyFont="1" applyFill="1" applyBorder="1"/>
    <xf numFmtId="0" fontId="5" fillId="4" borderId="0" xfId="0" applyFont="1" applyFill="1" applyBorder="1"/>
    <xf numFmtId="0" fontId="13" fillId="4" borderId="0" xfId="0" applyFont="1" applyFill="1"/>
    <xf numFmtId="2" fontId="13" fillId="4" borderId="0" xfId="0" applyNumberFormat="1" applyFont="1" applyFill="1"/>
    <xf numFmtId="0" fontId="5" fillId="4" borderId="0" xfId="0" applyFont="1" applyFill="1"/>
    <xf numFmtId="0" fontId="13" fillId="4" borderId="0" xfId="0" applyFont="1" applyFill="1" applyBorder="1"/>
    <xf numFmtId="2" fontId="13" fillId="4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1" fontId="13" fillId="4" borderId="0" xfId="0" applyNumberFormat="1" applyFont="1" applyFill="1" applyBorder="1" applyProtection="1">
      <protection hidden="1"/>
    </xf>
    <xf numFmtId="0" fontId="14" fillId="4" borderId="0" xfId="0" applyFont="1" applyFill="1" applyProtection="1">
      <protection hidden="1"/>
    </xf>
    <xf numFmtId="2" fontId="13" fillId="4" borderId="0" xfId="0" applyNumberFormat="1" applyFont="1" applyFill="1" applyBorder="1" applyProtection="1">
      <protection hidden="1"/>
    </xf>
    <xf numFmtId="0" fontId="13" fillId="4" borderId="0" xfId="0" applyFont="1" applyFill="1" applyBorder="1" applyAlignment="1" applyProtection="1">
      <alignment horizontal="left"/>
      <protection hidden="1"/>
    </xf>
    <xf numFmtId="0" fontId="26" fillId="3" borderId="0" xfId="0" applyFont="1" applyFill="1" applyBorder="1"/>
    <xf numFmtId="0" fontId="26" fillId="3" borderId="0" xfId="0" applyFont="1" applyFill="1" applyBorder="1" applyProtection="1"/>
    <xf numFmtId="0" fontId="27" fillId="3" borderId="0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horizontal="center"/>
    </xf>
    <xf numFmtId="0" fontId="0" fillId="3" borderId="1" xfId="0" applyFill="1" applyBorder="1"/>
    <xf numFmtId="0" fontId="1" fillId="3" borderId="2" xfId="0" applyFont="1" applyFill="1" applyBorder="1"/>
    <xf numFmtId="2" fontId="1" fillId="3" borderId="2" xfId="0" applyNumberFormat="1" applyFont="1" applyFill="1" applyBorder="1"/>
    <xf numFmtId="0" fontId="0" fillId="3" borderId="2" xfId="0" applyFill="1" applyBorder="1"/>
    <xf numFmtId="0" fontId="0" fillId="3" borderId="2" xfId="0" applyFill="1" applyBorder="1" applyProtection="1"/>
    <xf numFmtId="0" fontId="0" fillId="3" borderId="3" xfId="0" applyFill="1" applyBorder="1"/>
    <xf numFmtId="0" fontId="0" fillId="3" borderId="5" xfId="0" applyFill="1" applyBorder="1"/>
    <xf numFmtId="0" fontId="0" fillId="3" borderId="6" xfId="0" applyFill="1" applyBorder="1"/>
    <xf numFmtId="0" fontId="26" fillId="3" borderId="6" xfId="0" applyFont="1" applyFill="1" applyBorder="1"/>
    <xf numFmtId="0" fontId="9" fillId="3" borderId="7" xfId="0" applyFont="1" applyFill="1" applyBorder="1"/>
    <xf numFmtId="0" fontId="9" fillId="3" borderId="4" xfId="0" applyFont="1" applyFill="1" applyBorder="1"/>
    <xf numFmtId="0" fontId="12" fillId="3" borderId="4" xfId="0" applyFont="1" applyFill="1" applyBorder="1" applyAlignment="1">
      <alignment horizontal="center"/>
    </xf>
    <xf numFmtId="0" fontId="9" fillId="3" borderId="8" xfId="0" applyFont="1" applyFill="1" applyBorder="1"/>
    <xf numFmtId="0" fontId="16" fillId="4" borderId="1" xfId="0" applyFont="1" applyFill="1" applyBorder="1"/>
    <xf numFmtId="0" fontId="17" fillId="4" borderId="2" xfId="0" applyFont="1" applyFill="1" applyBorder="1"/>
    <xf numFmtId="0" fontId="17" fillId="4" borderId="2" xfId="0" applyFont="1" applyFill="1" applyBorder="1" applyProtection="1"/>
    <xf numFmtId="0" fontId="17" fillId="4" borderId="3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24" fillId="4" borderId="5" xfId="0" applyFont="1" applyFill="1" applyBorder="1"/>
    <xf numFmtId="0" fontId="24" fillId="4" borderId="0" xfId="0" applyFont="1" applyFill="1" applyBorder="1"/>
    <xf numFmtId="0" fontId="30" fillId="4" borderId="0" xfId="0" applyFont="1" applyFill="1" applyBorder="1"/>
    <xf numFmtId="0" fontId="24" fillId="4" borderId="0" xfId="0" applyFont="1" applyFill="1" applyBorder="1" applyProtection="1"/>
    <xf numFmtId="0" fontId="16" fillId="4" borderId="2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31" fillId="4" borderId="9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vertical="center"/>
    </xf>
    <xf numFmtId="0" fontId="24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right"/>
    </xf>
    <xf numFmtId="0" fontId="33" fillId="4" borderId="0" xfId="0" applyFont="1" applyFill="1" applyBorder="1"/>
    <xf numFmtId="0" fontId="35" fillId="4" borderId="0" xfId="0" applyFont="1" applyFill="1" applyBorder="1"/>
    <xf numFmtId="0" fontId="33" fillId="4" borderId="0" xfId="0" applyFont="1" applyFill="1" applyBorder="1" applyAlignment="1" applyProtection="1">
      <alignment horizontal="left"/>
      <protection hidden="1"/>
    </xf>
    <xf numFmtId="0" fontId="32" fillId="4" borderId="0" xfId="0" applyFont="1" applyFill="1" applyBorder="1" applyProtection="1"/>
    <xf numFmtId="0" fontId="32" fillId="4" borderId="0" xfId="0" applyFont="1" applyFill="1" applyBorder="1"/>
    <xf numFmtId="2" fontId="21" fillId="4" borderId="0" xfId="0" applyNumberFormat="1" applyFont="1" applyFill="1" applyBorder="1" applyAlignment="1" applyProtection="1">
      <alignment horizontal="center"/>
      <protection hidden="1"/>
    </xf>
    <xf numFmtId="2" fontId="33" fillId="4" borderId="0" xfId="0" applyNumberFormat="1" applyFont="1" applyFill="1" applyBorder="1" applyAlignment="1">
      <alignment horizontal="center"/>
    </xf>
    <xf numFmtId="0" fontId="29" fillId="3" borderId="0" xfId="0" applyFont="1" applyFill="1" applyBorder="1" applyProtection="1"/>
    <xf numFmtId="0" fontId="29" fillId="3" borderId="0" xfId="0" applyFont="1" applyFill="1" applyBorder="1"/>
    <xf numFmtId="0" fontId="20" fillId="3" borderId="0" xfId="0" applyFont="1" applyFill="1" applyBorder="1" applyProtection="1"/>
    <xf numFmtId="0" fontId="20" fillId="3" borderId="0" xfId="0" applyFont="1" applyFill="1" applyBorder="1" applyAlignment="1" applyProtection="1">
      <alignment horizontal="center"/>
    </xf>
    <xf numFmtId="0" fontId="20" fillId="3" borderId="0" xfId="0" applyFont="1" applyFill="1" applyBorder="1" applyAlignment="1">
      <alignment horizontal="center"/>
    </xf>
    <xf numFmtId="0" fontId="0" fillId="0" borderId="0" xfId="0" applyFill="1" applyBorder="1"/>
    <xf numFmtId="0" fontId="14" fillId="6" borderId="0" xfId="0" applyFont="1" applyFill="1"/>
    <xf numFmtId="0" fontId="0" fillId="6" borderId="0" xfId="0" applyFill="1"/>
    <xf numFmtId="0" fontId="14" fillId="0" borderId="10" xfId="0" applyFont="1" applyBorder="1"/>
    <xf numFmtId="0" fontId="14" fillId="0" borderId="1" xfId="0" applyFont="1" applyBorder="1"/>
    <xf numFmtId="0" fontId="14" fillId="6" borderId="1" xfId="0" applyFont="1" applyFill="1" applyBorder="1"/>
    <xf numFmtId="0" fontId="14" fillId="6" borderId="5" xfId="0" applyFont="1" applyFill="1" applyBorder="1"/>
    <xf numFmtId="0" fontId="7" fillId="4" borderId="0" xfId="0" applyFont="1" applyFill="1" applyBorder="1" applyProtection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2" borderId="0" xfId="0" applyFont="1" applyFill="1" applyAlignment="1">
      <alignment horizontal="center" vertical="center" textRotation="90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4" fillId="4" borderId="0" xfId="0" applyFont="1" applyFill="1" applyAlignment="1" applyProtection="1">
      <alignment horizontal="center" vertical="center"/>
      <protection hidden="1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1" fontId="38" fillId="4" borderId="0" xfId="0" applyNumberFormat="1" applyFont="1" applyFill="1" applyBorder="1" applyAlignment="1">
      <alignment horizontal="center" vertical="center"/>
    </xf>
    <xf numFmtId="1" fontId="38" fillId="4" borderId="0" xfId="0" applyNumberFormat="1" applyFont="1" applyFill="1" applyBorder="1" applyAlignment="1" applyProtection="1">
      <alignment horizontal="center" vertical="center"/>
      <protection hidden="1"/>
    </xf>
    <xf numFmtId="0" fontId="14" fillId="6" borderId="7" xfId="0" applyFont="1" applyFill="1" applyBorder="1"/>
    <xf numFmtId="0" fontId="7" fillId="0" borderId="5" xfId="0" applyFont="1" applyFill="1" applyBorder="1" applyAlignment="1">
      <alignment horizontal="right"/>
    </xf>
    <xf numFmtId="0" fontId="24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2" fontId="24" fillId="0" borderId="0" xfId="0" applyNumberFormat="1" applyFont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65" fontId="24" fillId="0" borderId="0" xfId="0" applyNumberFormat="1" applyFont="1" applyAlignment="1">
      <alignment horizontal="center"/>
    </xf>
    <xf numFmtId="0" fontId="38" fillId="0" borderId="0" xfId="0" applyFont="1" applyFill="1" applyBorder="1" applyAlignment="1" applyProtection="1">
      <alignment horizontal="left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0" fontId="38" fillId="4" borderId="0" xfId="0" applyFont="1" applyFill="1" applyBorder="1" applyAlignment="1">
      <alignment horizontal="right" vertical="center"/>
    </xf>
    <xf numFmtId="0" fontId="38" fillId="4" borderId="0" xfId="0" applyFont="1" applyFill="1" applyBorder="1" applyAlignment="1" applyProtection="1">
      <alignment horizontal="left" vertical="center"/>
      <protection hidden="1"/>
    </xf>
    <xf numFmtId="0" fontId="36" fillId="4" borderId="0" xfId="0" applyFont="1" applyFill="1" applyBorder="1" applyAlignment="1">
      <alignment vertical="center"/>
    </xf>
    <xf numFmtId="0" fontId="7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0" fontId="0" fillId="6" borderId="0" xfId="0" applyFont="1" applyFill="1"/>
    <xf numFmtId="0" fontId="0" fillId="0" borderId="6" xfId="0" applyFont="1" applyBorder="1"/>
    <xf numFmtId="0" fontId="0" fillId="0" borderId="0" xfId="0" applyFont="1" applyFill="1" applyBorder="1"/>
    <xf numFmtId="0" fontId="0" fillId="0" borderId="0" xfId="0" applyFont="1"/>
    <xf numFmtId="0" fontId="1" fillId="0" borderId="11" xfId="0" applyFont="1" applyBorder="1"/>
    <xf numFmtId="0" fontId="1" fillId="0" borderId="12" xfId="0" applyFont="1" applyBorder="1"/>
    <xf numFmtId="0" fontId="0" fillId="6" borderId="5" xfId="0" applyFill="1" applyBorder="1"/>
    <xf numFmtId="0" fontId="0" fillId="6" borderId="7" xfId="0" applyFill="1" applyBorder="1"/>
    <xf numFmtId="0" fontId="0" fillId="0" borderId="0" xfId="0" applyNumberFormat="1"/>
    <xf numFmtId="0" fontId="31" fillId="4" borderId="9" xfId="0" applyNumberFormat="1" applyFont="1" applyFill="1" applyBorder="1" applyAlignment="1" applyProtection="1">
      <alignment horizontal="center" vertical="center"/>
      <protection locked="0"/>
    </xf>
    <xf numFmtId="0" fontId="24" fillId="4" borderId="6" xfId="0" applyFont="1" applyFill="1" applyBorder="1"/>
    <xf numFmtId="0" fontId="20" fillId="6" borderId="9" xfId="0" applyFont="1" applyFill="1" applyBorder="1" applyAlignment="1">
      <alignment horizontal="center" vertical="center"/>
    </xf>
    <xf numFmtId="0" fontId="3" fillId="4" borderId="2" xfId="0" applyFont="1" applyFill="1" applyBorder="1"/>
    <xf numFmtId="0" fontId="24" fillId="4" borderId="2" xfId="0" applyFont="1" applyFill="1" applyBorder="1" applyProtection="1"/>
    <xf numFmtId="0" fontId="24" fillId="4" borderId="2" xfId="0" applyFont="1" applyFill="1" applyBorder="1"/>
    <xf numFmtId="0" fontId="24" fillId="4" borderId="3" xfId="0" applyFont="1" applyFill="1" applyBorder="1" applyProtection="1"/>
    <xf numFmtId="0" fontId="3" fillId="4" borderId="4" xfId="0" applyFont="1" applyFill="1" applyBorder="1"/>
    <xf numFmtId="0" fontId="3" fillId="4" borderId="4" xfId="0" applyFont="1" applyFill="1" applyBorder="1" applyProtection="1"/>
    <xf numFmtId="0" fontId="3" fillId="4" borderId="8" xfId="0" applyFont="1" applyFill="1" applyBorder="1" applyProtection="1"/>
    <xf numFmtId="0" fontId="3" fillId="4" borderId="0" xfId="0" applyFont="1" applyFill="1" applyBorder="1" applyProtection="1"/>
    <xf numFmtId="0" fontId="3" fillId="4" borderId="0" xfId="0" applyFont="1" applyFill="1" applyBorder="1"/>
    <xf numFmtId="165" fontId="20" fillId="4" borderId="0" xfId="0" applyNumberFormat="1" applyFont="1" applyFill="1" applyAlignment="1">
      <alignment horizontal="center" vertical="center"/>
    </xf>
    <xf numFmtId="0" fontId="20" fillId="4" borderId="0" xfId="0" applyFont="1" applyFill="1"/>
    <xf numFmtId="0" fontId="20" fillId="4" borderId="0" xfId="0" applyFont="1" applyFill="1" applyProtection="1"/>
    <xf numFmtId="0" fontId="20" fillId="4" borderId="0" xfId="0" applyFont="1" applyFill="1" applyBorder="1" applyProtection="1"/>
    <xf numFmtId="0" fontId="20" fillId="4" borderId="0" xfId="0" applyFont="1" applyFill="1" applyBorder="1" applyAlignment="1">
      <alignment horizontal="center" vertical="center"/>
    </xf>
    <xf numFmtId="0" fontId="20" fillId="4" borderId="0" xfId="0" applyFont="1" applyFill="1" applyBorder="1"/>
    <xf numFmtId="2" fontId="20" fillId="4" borderId="0" xfId="0" applyNumberFormat="1" applyFont="1" applyFill="1" applyBorder="1" applyAlignment="1">
      <alignment horizontal="center" vertical="center"/>
    </xf>
    <xf numFmtId="0" fontId="29" fillId="4" borderId="0" xfId="0" applyFont="1" applyFill="1" applyBorder="1" applyProtection="1"/>
    <xf numFmtId="0" fontId="29" fillId="4" borderId="0" xfId="0" applyFont="1" applyFill="1" applyBorder="1"/>
    <xf numFmtId="0" fontId="29" fillId="4" borderId="0" xfId="0" applyFont="1" applyFill="1" applyBorder="1" applyAlignment="1">
      <alignment horizontal="center" vertical="center"/>
    </xf>
    <xf numFmtId="1" fontId="20" fillId="4" borderId="0" xfId="0" applyNumberFormat="1" applyFont="1" applyFill="1" applyBorder="1" applyAlignment="1">
      <alignment horizontal="center" vertical="center"/>
    </xf>
    <xf numFmtId="0" fontId="43" fillId="4" borderId="7" xfId="0" applyFont="1" applyFill="1" applyBorder="1"/>
    <xf numFmtId="0" fontId="43" fillId="4" borderId="4" xfId="0" applyFont="1" applyFill="1" applyBorder="1"/>
    <xf numFmtId="0" fontId="44" fillId="4" borderId="4" xfId="0" applyFont="1" applyFill="1" applyBorder="1"/>
    <xf numFmtId="0" fontId="44" fillId="4" borderId="4" xfId="0" applyFont="1" applyFill="1" applyBorder="1" applyAlignment="1">
      <alignment horizontal="center"/>
    </xf>
    <xf numFmtId="0" fontId="44" fillId="4" borderId="8" xfId="0" applyFont="1" applyFill="1" applyBorder="1"/>
    <xf numFmtId="0" fontId="0" fillId="0" borderId="2" xfId="0" applyFont="1" applyBorder="1"/>
    <xf numFmtId="0" fontId="14" fillId="0" borderId="0" xfId="0" applyFont="1" applyFill="1" applyAlignment="1">
      <alignment horizontal="center"/>
    </xf>
    <xf numFmtId="1" fontId="14" fillId="0" borderId="0" xfId="0" applyNumberFormat="1" applyFont="1" applyFill="1"/>
    <xf numFmtId="0" fontId="23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45" fillId="4" borderId="1" xfId="0" applyFont="1" applyFill="1" applyBorder="1" applyAlignment="1" applyProtection="1">
      <alignment horizontal="center" vertical="center" wrapText="1"/>
    </xf>
    <xf numFmtId="0" fontId="45" fillId="4" borderId="2" xfId="0" applyFont="1" applyFill="1" applyBorder="1" applyAlignment="1" applyProtection="1">
      <alignment horizontal="center" vertical="center" wrapText="1"/>
    </xf>
    <xf numFmtId="0" fontId="45" fillId="4" borderId="3" xfId="0" applyFont="1" applyFill="1" applyBorder="1" applyAlignment="1" applyProtection="1">
      <alignment horizontal="center" vertical="center" wrapText="1"/>
    </xf>
    <xf numFmtId="0" fontId="45" fillId="4" borderId="5" xfId="0" applyFont="1" applyFill="1" applyBorder="1" applyAlignment="1" applyProtection="1">
      <alignment horizontal="center" vertical="center" wrapText="1"/>
    </xf>
    <xf numFmtId="0" fontId="45" fillId="4" borderId="0" xfId="0" applyFont="1" applyFill="1" applyBorder="1" applyAlignment="1" applyProtection="1">
      <alignment horizontal="center" vertical="center" wrapText="1"/>
    </xf>
    <xf numFmtId="0" fontId="45" fillId="4" borderId="6" xfId="0" applyFont="1" applyFill="1" applyBorder="1" applyAlignment="1" applyProtection="1">
      <alignment horizontal="center" vertical="center" wrapText="1"/>
    </xf>
    <xf numFmtId="164" fontId="23" fillId="3" borderId="0" xfId="1" applyFont="1" applyFill="1" applyBorder="1" applyAlignment="1" applyProtection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 applyProtection="1">
      <alignment horizontal="center" vertical="center"/>
    </xf>
    <xf numFmtId="0" fontId="25" fillId="5" borderId="12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54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33618</xdr:colOff>
      <xdr:row>1</xdr:row>
      <xdr:rowOff>44823</xdr:rowOff>
    </xdr:from>
    <xdr:to>
      <xdr:col>19</xdr:col>
      <xdr:colOff>82477</xdr:colOff>
      <xdr:row>3</xdr:row>
      <xdr:rowOff>471621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0677" y="201705"/>
          <a:ext cx="2357270" cy="830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G311"/>
  <sheetViews>
    <sheetView tabSelected="1" workbookViewId="0">
      <selection activeCell="P16" sqref="P16"/>
    </sheetView>
  </sheetViews>
  <sheetFormatPr baseColWidth="10" defaultColWidth="8.83203125" defaultRowHeight="12.75" customHeight="1" x14ac:dyDescent="0.15"/>
  <cols>
    <col min="1" max="1" width="2.6640625" style="1" customWidth="1"/>
    <col min="2" max="2" width="1.5" style="1" customWidth="1"/>
    <col min="3" max="3" width="12.33203125" customWidth="1"/>
    <col min="4" max="4" width="10" customWidth="1"/>
    <col min="5" max="5" width="9.6640625" customWidth="1"/>
    <col min="6" max="6" width="8.33203125" customWidth="1"/>
    <col min="7" max="8" width="6.83203125" style="9" customWidth="1"/>
    <col min="9" max="9" width="10.1640625" customWidth="1"/>
    <col min="10" max="12" width="6.83203125" style="9" customWidth="1"/>
    <col min="13" max="13" width="6.83203125" customWidth="1"/>
    <col min="14" max="15" width="6.83203125" style="9" customWidth="1"/>
    <col min="16" max="16" width="6.83203125" customWidth="1"/>
    <col min="17" max="18" width="5.33203125" customWidth="1"/>
    <col min="19" max="19" width="10.5" customWidth="1"/>
    <col min="20" max="20" width="2" customWidth="1"/>
    <col min="21" max="21" width="10.6640625" customWidth="1"/>
    <col min="22" max="22" width="8" customWidth="1"/>
    <col min="23" max="23" width="9.33203125" customWidth="1"/>
    <col min="24" max="24" width="8.6640625" customWidth="1"/>
    <col min="25" max="25" width="7.83203125" customWidth="1"/>
    <col min="26" max="27" width="5.33203125" customWidth="1"/>
    <col min="28" max="28" width="8" customWidth="1"/>
    <col min="29" max="29" width="5.33203125" customWidth="1"/>
    <col min="30" max="30" width="10.6640625" style="6" customWidth="1"/>
    <col min="31" max="31" width="11" style="6" customWidth="1"/>
    <col min="32" max="45" width="8.6640625" style="6" customWidth="1"/>
    <col min="46" max="46" width="8.6640625" customWidth="1"/>
    <col min="47" max="47" width="7.5" customWidth="1"/>
    <col min="53" max="79" width="8.83203125" style="1"/>
  </cols>
  <sheetData>
    <row r="1" spans="1:189" ht="12" customHeight="1" thickBot="1" x14ac:dyDescent="0.2">
      <c r="B1" s="2"/>
      <c r="C1" s="3"/>
      <c r="D1" s="3"/>
      <c r="E1" s="4"/>
      <c r="F1" s="2"/>
      <c r="G1" s="8"/>
      <c r="H1" s="8"/>
      <c r="I1" s="2"/>
      <c r="J1" s="8"/>
      <c r="K1" s="8"/>
      <c r="L1" s="8"/>
      <c r="M1" s="2"/>
      <c r="N1" s="8"/>
      <c r="O1" s="8"/>
      <c r="P1" s="2"/>
      <c r="Q1" s="2"/>
      <c r="R1" s="2"/>
      <c r="S1" s="2"/>
      <c r="T1" s="2"/>
      <c r="U1" s="6"/>
      <c r="V1" s="11"/>
      <c r="W1" s="10"/>
      <c r="X1" s="10"/>
      <c r="Y1" s="10"/>
      <c r="Z1" s="10"/>
      <c r="AA1" s="10"/>
      <c r="AB1" s="10"/>
      <c r="AC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ht="9" customHeight="1" x14ac:dyDescent="0.15">
      <c r="B2" s="90"/>
      <c r="C2" s="91"/>
      <c r="D2" s="91"/>
      <c r="E2" s="92"/>
      <c r="F2" s="93"/>
      <c r="G2" s="94"/>
      <c r="H2" s="94"/>
      <c r="I2" s="93"/>
      <c r="J2" s="94"/>
      <c r="K2" s="94"/>
      <c r="L2" s="94"/>
      <c r="M2" s="93"/>
      <c r="N2" s="94"/>
      <c r="O2" s="94"/>
      <c r="P2" s="93"/>
      <c r="Q2" s="93"/>
      <c r="R2" s="93"/>
      <c r="S2" s="93"/>
      <c r="T2" s="95"/>
      <c r="U2" s="6"/>
      <c r="V2" s="11"/>
      <c r="W2" s="10"/>
      <c r="X2" s="10"/>
      <c r="Y2" s="10"/>
      <c r="Z2" s="10"/>
      <c r="AA2" s="10"/>
      <c r="AB2" s="10"/>
      <c r="AC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</row>
    <row r="3" spans="1:189" ht="23.25" customHeight="1" x14ac:dyDescent="0.15">
      <c r="B3" s="96"/>
      <c r="C3" s="23"/>
      <c r="D3" s="23"/>
      <c r="E3" s="24"/>
      <c r="F3" s="19"/>
      <c r="G3" s="237" t="s">
        <v>138</v>
      </c>
      <c r="H3" s="237"/>
      <c r="I3" s="237"/>
      <c r="J3" s="237"/>
      <c r="K3" s="237"/>
      <c r="L3" s="237"/>
      <c r="M3" s="237"/>
      <c r="N3" s="237"/>
      <c r="O3" s="21"/>
      <c r="P3" s="19"/>
      <c r="Q3" s="19"/>
      <c r="R3" s="19"/>
      <c r="S3" s="19"/>
      <c r="T3" s="97"/>
      <c r="U3" s="6"/>
      <c r="V3" s="11"/>
      <c r="W3" s="10"/>
      <c r="X3" s="10"/>
      <c r="Y3" s="10"/>
      <c r="Z3" s="10"/>
      <c r="AA3" s="10"/>
      <c r="AB3" s="10"/>
      <c r="AC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</row>
    <row r="4" spans="1:189" ht="42" customHeight="1" x14ac:dyDescent="0.15">
      <c r="B4" s="96"/>
      <c r="C4" s="23"/>
      <c r="D4" s="23"/>
      <c r="E4" s="24"/>
      <c r="F4" s="19"/>
      <c r="G4" s="237"/>
      <c r="H4" s="237"/>
      <c r="I4" s="237"/>
      <c r="J4" s="237"/>
      <c r="K4" s="237"/>
      <c r="L4" s="237"/>
      <c r="M4" s="237"/>
      <c r="N4" s="237"/>
      <c r="O4" s="21"/>
      <c r="P4" s="19"/>
      <c r="Q4" s="19"/>
      <c r="R4" s="19"/>
      <c r="S4" s="19"/>
      <c r="T4" s="97"/>
      <c r="U4" s="6"/>
      <c r="V4" s="11"/>
      <c r="W4" s="10"/>
      <c r="X4" s="10"/>
      <c r="Y4" s="10"/>
      <c r="Z4" s="10"/>
      <c r="AA4" s="10"/>
      <c r="AB4" s="10"/>
      <c r="AC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</row>
    <row r="5" spans="1:189" ht="18.75" customHeight="1" thickBot="1" x14ac:dyDescent="0.2">
      <c r="B5" s="96"/>
      <c r="C5" s="242" t="s">
        <v>46</v>
      </c>
      <c r="D5" s="242"/>
      <c r="E5" s="242"/>
      <c r="F5" s="242"/>
      <c r="G5" s="21"/>
      <c r="H5" s="21"/>
      <c r="I5" s="19"/>
      <c r="J5" s="21"/>
      <c r="K5" s="21"/>
      <c r="L5" s="21"/>
      <c r="M5" s="19"/>
      <c r="N5" s="21"/>
      <c r="O5" s="21"/>
      <c r="P5" s="19"/>
      <c r="Q5" s="19"/>
      <c r="R5" s="19"/>
      <c r="S5" s="19"/>
      <c r="T5" s="97"/>
      <c r="U5" s="75"/>
      <c r="V5" s="76"/>
      <c r="W5" s="72"/>
      <c r="X5" s="72"/>
      <c r="Y5" s="72"/>
      <c r="Z5" s="72"/>
      <c r="AA5" s="72"/>
      <c r="AB5" s="72"/>
      <c r="AC5" s="72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7"/>
      <c r="BK5" s="10"/>
      <c r="BL5" s="10"/>
      <c r="BM5" s="10"/>
      <c r="BN5" s="10"/>
      <c r="BO5" s="10"/>
      <c r="BP5" s="10"/>
      <c r="BQ5" s="10"/>
      <c r="BR5" s="10"/>
    </row>
    <row r="6" spans="1:189" ht="47.25" customHeight="1" thickBot="1" x14ac:dyDescent="0.2">
      <c r="B6" s="96"/>
      <c r="C6" s="242"/>
      <c r="D6" s="242"/>
      <c r="E6" s="242"/>
      <c r="F6" s="242"/>
      <c r="G6" s="240" t="s">
        <v>137</v>
      </c>
      <c r="H6" s="240"/>
      <c r="I6" s="240"/>
      <c r="J6" s="240"/>
      <c r="K6" s="240"/>
      <c r="L6" s="240"/>
      <c r="M6" s="240"/>
      <c r="N6" s="240"/>
      <c r="O6" s="240"/>
      <c r="P6" s="241"/>
      <c r="Q6" s="19"/>
      <c r="R6" s="19"/>
      <c r="S6" s="19"/>
      <c r="T6" s="97"/>
      <c r="U6" s="75"/>
      <c r="V6" s="76"/>
      <c r="W6" s="72"/>
      <c r="X6" s="72"/>
      <c r="Y6" s="72"/>
      <c r="Z6" s="72"/>
      <c r="AA6" s="72"/>
      <c r="AB6" s="72"/>
      <c r="AC6" s="72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7"/>
      <c r="BK6" s="10"/>
      <c r="BL6" s="10"/>
      <c r="BM6" s="10"/>
      <c r="BN6" s="10"/>
      <c r="BO6" s="10"/>
      <c r="BP6" s="10"/>
      <c r="BQ6" s="10"/>
      <c r="BR6" s="10"/>
    </row>
    <row r="7" spans="1:189" ht="6" customHeight="1" x14ac:dyDescent="0.2">
      <c r="B7" s="96"/>
      <c r="C7" s="19"/>
      <c r="D7" s="19"/>
      <c r="E7" s="19"/>
      <c r="F7" s="23"/>
      <c r="G7" s="21"/>
      <c r="H7" s="128"/>
      <c r="I7" s="129"/>
      <c r="J7" s="128"/>
      <c r="K7" s="128"/>
      <c r="L7" s="128"/>
      <c r="M7" s="129"/>
      <c r="N7" s="128"/>
      <c r="O7" s="128"/>
      <c r="P7" s="19"/>
      <c r="Q7" s="19"/>
      <c r="R7" s="19"/>
      <c r="S7" s="19"/>
      <c r="T7" s="97"/>
      <c r="U7" s="75"/>
      <c r="V7" s="76"/>
      <c r="W7" s="72"/>
      <c r="X7" s="72"/>
      <c r="Y7" s="72"/>
      <c r="Z7" s="72"/>
      <c r="AA7" s="72"/>
      <c r="AB7" s="72"/>
      <c r="AC7" s="72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7"/>
      <c r="BK7" s="10"/>
      <c r="BL7" s="10"/>
      <c r="BM7" s="10"/>
      <c r="BN7" s="10"/>
      <c r="BO7" s="10"/>
      <c r="BP7" s="10"/>
      <c r="BQ7" s="10"/>
      <c r="BR7" s="10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</row>
    <row r="8" spans="1:189" ht="19.5" customHeight="1" x14ac:dyDescent="0.2">
      <c r="B8" s="96"/>
      <c r="C8" s="19"/>
      <c r="D8" s="19"/>
      <c r="E8" s="19"/>
      <c r="F8" s="23"/>
      <c r="G8" s="130" t="s">
        <v>22</v>
      </c>
      <c r="H8" s="20"/>
      <c r="I8" s="128"/>
      <c r="J8" s="129"/>
      <c r="K8" s="129"/>
      <c r="L8" s="131"/>
      <c r="M8" s="128"/>
      <c r="N8" s="132" t="str">
        <f>VLOOKUP(G6,Airspeeds,2,FALSE)</f>
        <v>50 to 120 MPH</v>
      </c>
      <c r="O8" s="132"/>
      <c r="P8" s="19"/>
      <c r="Q8" s="19"/>
      <c r="R8" s="19"/>
      <c r="S8" s="19"/>
      <c r="T8" s="97"/>
      <c r="U8" s="75"/>
      <c r="V8" s="76"/>
      <c r="W8" s="72"/>
      <c r="X8" s="72"/>
      <c r="Y8" s="72"/>
      <c r="Z8" s="72"/>
      <c r="AA8" s="72"/>
      <c r="AB8" s="72"/>
      <c r="AC8" s="72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7"/>
      <c r="BK8" s="10"/>
      <c r="BL8" s="10"/>
      <c r="BM8" s="10"/>
      <c r="BN8" s="10"/>
      <c r="BO8" s="10"/>
      <c r="BP8" s="10"/>
      <c r="BQ8" s="10"/>
      <c r="BR8" s="10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</row>
    <row r="9" spans="1:189" ht="19" customHeight="1" x14ac:dyDescent="0.15">
      <c r="A9" s="5"/>
      <c r="B9" s="96"/>
      <c r="C9" s="243" t="s">
        <v>134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98"/>
      <c r="U9" s="75"/>
      <c r="V9" s="76"/>
      <c r="W9" s="72"/>
      <c r="X9" s="72"/>
      <c r="Y9" s="72"/>
      <c r="Z9" s="72"/>
      <c r="AA9" s="72"/>
      <c r="AB9" s="72"/>
      <c r="AC9" s="72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7"/>
      <c r="BK9" s="10"/>
      <c r="BL9" s="10"/>
      <c r="BM9" s="10"/>
      <c r="BN9" s="10"/>
      <c r="BO9" s="10"/>
      <c r="BP9" s="10"/>
      <c r="BQ9" s="10"/>
      <c r="BR9" s="10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</row>
    <row r="10" spans="1:189" ht="13.5" customHeight="1" thickBot="1" x14ac:dyDescent="0.2">
      <c r="A10" s="5" t="s">
        <v>1</v>
      </c>
      <c r="B10" s="96"/>
      <c r="C10" s="86"/>
      <c r="D10" s="86"/>
      <c r="E10" s="86"/>
      <c r="F10" s="86"/>
      <c r="G10" s="87"/>
      <c r="H10" s="87"/>
      <c r="I10" s="86"/>
      <c r="J10" s="89"/>
      <c r="K10" s="88" t="s">
        <v>114</v>
      </c>
      <c r="L10" s="87"/>
      <c r="M10" s="86"/>
      <c r="N10" s="87"/>
      <c r="O10" s="87"/>
      <c r="P10" s="86"/>
      <c r="Q10" s="86"/>
      <c r="R10" s="86"/>
      <c r="S10" s="86"/>
      <c r="T10" s="98"/>
      <c r="U10" s="75"/>
      <c r="V10" s="76"/>
      <c r="W10" s="72"/>
      <c r="X10" s="72"/>
      <c r="Y10" s="72"/>
      <c r="Z10" s="72"/>
      <c r="AA10" s="72"/>
      <c r="AB10" s="72"/>
      <c r="AC10" s="72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7"/>
      <c r="BK10" s="10"/>
      <c r="BL10" s="10"/>
      <c r="BM10" s="10"/>
      <c r="BN10" s="10"/>
      <c r="BO10" s="10"/>
      <c r="BP10" s="10"/>
      <c r="BQ10" s="10"/>
      <c r="BR10" s="10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</row>
    <row r="11" spans="1:189" ht="2.25" customHeight="1" thickBot="1" x14ac:dyDescent="0.2">
      <c r="A11" s="5"/>
      <c r="B11" s="96"/>
      <c r="C11" s="103"/>
      <c r="D11" s="113"/>
      <c r="E11" s="104"/>
      <c r="F11" s="104"/>
      <c r="G11" s="105"/>
      <c r="H11" s="105"/>
      <c r="I11" s="104"/>
      <c r="J11" s="105"/>
      <c r="K11" s="105"/>
      <c r="L11" s="105"/>
      <c r="M11" s="104"/>
      <c r="N11" s="105"/>
      <c r="O11" s="105"/>
      <c r="P11" s="104"/>
      <c r="Q11" s="104"/>
      <c r="R11" s="104"/>
      <c r="S11" s="106"/>
      <c r="T11" s="97"/>
      <c r="U11" s="75"/>
      <c r="V11" s="76"/>
      <c r="W11" s="72"/>
      <c r="X11" s="72"/>
      <c r="Y11" s="72"/>
      <c r="Z11" s="72"/>
      <c r="AA11" s="72"/>
      <c r="AB11" s="72"/>
      <c r="AC11" s="72"/>
      <c r="AD11" s="78"/>
      <c r="AE11" s="79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7"/>
      <c r="BK11" s="10"/>
      <c r="BL11" s="10"/>
      <c r="BM11" s="10"/>
      <c r="BN11" s="10"/>
      <c r="BO11" s="10"/>
      <c r="BP11" s="10"/>
      <c r="BQ11" s="10"/>
      <c r="BR11" s="10"/>
    </row>
    <row r="12" spans="1:189" ht="12.75" customHeight="1" x14ac:dyDescent="0.2">
      <c r="A12" s="5"/>
      <c r="B12" s="96"/>
      <c r="C12" s="228" t="s">
        <v>47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30"/>
      <c r="T12" s="97"/>
      <c r="U12" s="75"/>
      <c r="V12" s="76"/>
      <c r="W12" s="72"/>
      <c r="X12" s="72"/>
      <c r="Y12" s="72"/>
      <c r="Z12" s="72"/>
      <c r="AA12" s="72"/>
      <c r="AB12" s="72"/>
      <c r="AC12" s="72"/>
      <c r="AD12" s="78"/>
      <c r="AE12" s="79"/>
      <c r="AF12" s="73"/>
      <c r="AG12" s="73"/>
      <c r="AH12" s="73"/>
      <c r="AI12" s="73"/>
      <c r="AJ12" s="73"/>
      <c r="AK12" s="73"/>
      <c r="AL12" s="80"/>
      <c r="AM12" s="73"/>
      <c r="AN12" s="73"/>
      <c r="AO12" s="73"/>
      <c r="AP12" s="73"/>
      <c r="AQ12" s="73"/>
      <c r="AR12" s="73"/>
      <c r="AS12" s="73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7"/>
      <c r="BK12" s="10"/>
      <c r="BL12" s="10"/>
      <c r="BM12" s="10"/>
      <c r="BN12" s="10"/>
      <c r="BO12" s="10"/>
      <c r="BP12" s="10"/>
      <c r="BQ12" s="10"/>
      <c r="BR12" s="10"/>
    </row>
    <row r="13" spans="1:189" ht="2.25" customHeight="1" x14ac:dyDescent="0.15">
      <c r="A13" s="5"/>
      <c r="B13" s="96"/>
      <c r="C13" s="107"/>
      <c r="D13" s="25"/>
      <c r="E13" s="25"/>
      <c r="F13" s="15"/>
      <c r="G13" s="27"/>
      <c r="H13" s="27"/>
      <c r="I13" s="15"/>
      <c r="J13" s="27"/>
      <c r="K13" s="27"/>
      <c r="L13" s="27"/>
      <c r="M13" s="15"/>
      <c r="N13" s="27"/>
      <c r="O13" s="27"/>
      <c r="P13" s="15"/>
      <c r="Q13" s="28"/>
      <c r="R13" s="25"/>
      <c r="S13" s="108"/>
      <c r="T13" s="97"/>
      <c r="U13" s="75"/>
      <c r="V13" s="76"/>
      <c r="W13" s="72"/>
      <c r="X13" s="72"/>
      <c r="Y13" s="72"/>
      <c r="Z13" s="72"/>
      <c r="AA13" s="72"/>
      <c r="AB13" s="72"/>
      <c r="AC13" s="72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7"/>
      <c r="BK13" s="10"/>
      <c r="BL13" s="10"/>
      <c r="BM13" s="10"/>
      <c r="BN13" s="10"/>
      <c r="BO13" s="10"/>
      <c r="BP13" s="10"/>
      <c r="BQ13" s="10"/>
      <c r="BR13" s="10"/>
    </row>
    <row r="14" spans="1:189" ht="13.5" customHeight="1" x14ac:dyDescent="0.2">
      <c r="A14" s="5"/>
      <c r="B14" s="96"/>
      <c r="C14" s="238" t="s">
        <v>48</v>
      </c>
      <c r="D14" s="239"/>
      <c r="E14" s="110"/>
      <c r="F14" s="114" t="s">
        <v>32</v>
      </c>
      <c r="G14" s="115"/>
      <c r="H14" s="115"/>
      <c r="I14" s="114" t="str">
        <f>VLOOKUP(G6,Angle,2,FALSE)</f>
        <v>Nozzle Body Angle</v>
      </c>
      <c r="J14" s="115"/>
      <c r="K14" s="115"/>
      <c r="L14" s="115"/>
      <c r="M14" s="114" t="s">
        <v>35</v>
      </c>
      <c r="N14" s="115"/>
      <c r="O14" s="115"/>
      <c r="P14" s="114" t="s">
        <v>34</v>
      </c>
      <c r="Q14" s="116"/>
      <c r="R14" s="25"/>
      <c r="S14" s="108"/>
      <c r="T14" s="97"/>
      <c r="U14" s="75"/>
      <c r="V14" s="76"/>
      <c r="W14" s="72"/>
      <c r="X14" s="72"/>
      <c r="Y14" s="72"/>
      <c r="Z14" s="72"/>
      <c r="AA14" s="72"/>
      <c r="AB14" s="72"/>
      <c r="AC14" s="72"/>
      <c r="AD14" s="81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7"/>
      <c r="BK14" s="10"/>
      <c r="BL14" s="10"/>
      <c r="BM14" s="10"/>
      <c r="BN14" s="10"/>
      <c r="BO14" s="10"/>
      <c r="BP14" s="10"/>
      <c r="BQ14" s="10"/>
      <c r="BR14" s="10"/>
    </row>
    <row r="15" spans="1:189" ht="17.25" customHeight="1" thickBot="1" x14ac:dyDescent="0.25">
      <c r="A15" s="5"/>
      <c r="B15" s="96"/>
      <c r="C15" s="238"/>
      <c r="D15" s="239"/>
      <c r="E15" s="110"/>
      <c r="F15" s="116" t="str">
        <f>VLOOKUP(G6,Orifice,2,FALSE)</f>
        <v>4 to 20</v>
      </c>
      <c r="G15" s="115"/>
      <c r="H15" s="115"/>
      <c r="I15" s="116" t="str">
        <f>VLOOKUP(G6,Angle,16,FALSE)</f>
        <v>0 to 45</v>
      </c>
      <c r="J15" s="115"/>
      <c r="K15" s="115"/>
      <c r="L15" s="115"/>
      <c r="M15" s="116" t="str">
        <f>VLOOKUP(G6,Press,16,FALSE)</f>
        <v>30 to 60 psi</v>
      </c>
      <c r="N15" s="115"/>
      <c r="O15" s="115"/>
      <c r="P15" s="116" t="str">
        <f>VLOOKUP(G6,Airspeeds,2,FALSE)</f>
        <v>50 to 120 MPH</v>
      </c>
      <c r="Q15" s="116"/>
      <c r="R15" s="25"/>
      <c r="S15" s="108"/>
      <c r="T15" s="97"/>
      <c r="U15" s="75"/>
      <c r="V15" s="76"/>
      <c r="W15" s="72"/>
      <c r="X15" s="72"/>
      <c r="Y15" s="72"/>
      <c r="Z15" s="72"/>
      <c r="AA15" s="72"/>
      <c r="AB15" s="72"/>
      <c r="AC15" s="72"/>
      <c r="AD15" s="81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7"/>
      <c r="BK15" s="10"/>
      <c r="BL15" s="10"/>
      <c r="BM15" s="10"/>
      <c r="BN15" s="10"/>
      <c r="BO15" s="10"/>
      <c r="BP15" s="10"/>
      <c r="BQ15" s="10"/>
      <c r="BR15" s="10"/>
    </row>
    <row r="16" spans="1:189" ht="18" customHeight="1" thickBot="1" x14ac:dyDescent="0.25">
      <c r="A16" s="5"/>
      <c r="B16" s="96"/>
      <c r="C16" s="109"/>
      <c r="D16" s="110"/>
      <c r="E16" s="111"/>
      <c r="F16" s="117">
        <v>15</v>
      </c>
      <c r="G16" s="118"/>
      <c r="H16" s="118"/>
      <c r="I16" s="192">
        <v>0</v>
      </c>
      <c r="J16" s="118" t="s">
        <v>1</v>
      </c>
      <c r="K16" s="118"/>
      <c r="L16" s="118"/>
      <c r="M16" s="117">
        <v>30</v>
      </c>
      <c r="N16" s="118"/>
      <c r="O16" s="118"/>
      <c r="P16" s="117">
        <v>120</v>
      </c>
      <c r="Q16" s="119"/>
      <c r="R16" s="25"/>
      <c r="S16" s="108"/>
      <c r="T16" s="97"/>
      <c r="U16" s="82"/>
      <c r="V16" s="83"/>
      <c r="W16" s="83"/>
      <c r="X16" s="72"/>
      <c r="Y16" s="72"/>
      <c r="Z16" s="72"/>
      <c r="AA16" s="72"/>
      <c r="AB16" s="72"/>
      <c r="AC16" s="72"/>
      <c r="AD16" s="81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7"/>
      <c r="BK16" s="10"/>
      <c r="BL16" s="10"/>
      <c r="BM16" s="10"/>
      <c r="BN16" s="10"/>
      <c r="BO16" s="10"/>
      <c r="BP16" s="10"/>
      <c r="BQ16" s="10"/>
      <c r="BR16" s="10"/>
    </row>
    <row r="17" spans="1:189" ht="7.5" customHeight="1" thickBot="1" x14ac:dyDescent="0.25">
      <c r="A17" s="5"/>
      <c r="B17" s="96"/>
      <c r="C17" s="109"/>
      <c r="D17" s="110"/>
      <c r="E17" s="110"/>
      <c r="F17" s="110"/>
      <c r="G17" s="124"/>
      <c r="H17" s="124"/>
      <c r="I17" s="125"/>
      <c r="J17" s="124"/>
      <c r="K17" s="124"/>
      <c r="L17" s="124"/>
      <c r="M17" s="125"/>
      <c r="N17" s="124"/>
      <c r="O17" s="112"/>
      <c r="P17" s="110"/>
      <c r="Q17" s="110"/>
      <c r="R17" s="25"/>
      <c r="S17" s="108"/>
      <c r="T17" s="97"/>
      <c r="U17" s="75"/>
      <c r="V17" s="83"/>
      <c r="W17" s="83"/>
      <c r="X17" s="72"/>
      <c r="Y17" s="72"/>
      <c r="Z17" s="72"/>
      <c r="AA17" s="72"/>
      <c r="AB17" s="72"/>
      <c r="AC17" s="72"/>
      <c r="AD17" s="29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7"/>
      <c r="BK17" s="10"/>
      <c r="BL17" s="10"/>
      <c r="BM17" s="10"/>
      <c r="BN17" s="10"/>
      <c r="BO17" s="10"/>
      <c r="BP17" s="10"/>
      <c r="BQ17" s="10"/>
      <c r="BR17" s="10"/>
    </row>
    <row r="18" spans="1:189" ht="14.25" customHeight="1" x14ac:dyDescent="0.15">
      <c r="A18" s="5"/>
      <c r="B18" s="96"/>
      <c r="C18" s="30"/>
      <c r="D18" s="31"/>
      <c r="E18" s="31"/>
      <c r="F18" s="41" t="s">
        <v>7</v>
      </c>
      <c r="G18" s="39"/>
      <c r="H18" s="39"/>
      <c r="I18" s="40"/>
      <c r="J18" s="39"/>
      <c r="K18" s="39"/>
      <c r="L18" s="39"/>
      <c r="M18" s="40"/>
      <c r="N18" s="39"/>
      <c r="O18" s="32"/>
      <c r="P18" s="31"/>
      <c r="Q18" s="31"/>
      <c r="R18" s="31"/>
      <c r="S18" s="33"/>
      <c r="T18" s="97"/>
      <c r="U18" s="75"/>
      <c r="V18" s="72"/>
      <c r="W18" s="83"/>
      <c r="X18" s="72"/>
      <c r="Y18" s="72"/>
      <c r="Z18" s="72"/>
      <c r="AA18" s="72"/>
      <c r="AB18" s="72"/>
      <c r="AC18" s="72"/>
      <c r="AD18" s="29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7"/>
      <c r="BK18" s="10"/>
      <c r="BL18" s="10"/>
      <c r="BM18" s="10"/>
      <c r="BN18" s="10"/>
      <c r="BO18" s="10"/>
      <c r="BP18" s="10"/>
      <c r="BQ18" s="10"/>
      <c r="BR18" s="10"/>
    </row>
    <row r="19" spans="1:189" s="156" customFormat="1" ht="28.5" customHeight="1" x14ac:dyDescent="0.15">
      <c r="A19" s="145"/>
      <c r="B19" s="146"/>
      <c r="C19" s="147"/>
      <c r="D19" s="157" t="s">
        <v>108</v>
      </c>
      <c r="E19" s="158">
        <f>'Model Parameters'!K12</f>
        <v>262.87499476809057</v>
      </c>
      <c r="F19" s="157" t="s">
        <v>2</v>
      </c>
      <c r="G19" s="226" t="s">
        <v>14</v>
      </c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7"/>
      <c r="T19" s="148"/>
      <c r="U19" s="149"/>
      <c r="V19" s="149"/>
      <c r="W19" s="150"/>
      <c r="X19" s="151"/>
      <c r="Y19" s="151"/>
      <c r="Z19" s="151"/>
      <c r="AA19" s="151"/>
      <c r="AB19" s="151"/>
      <c r="AC19" s="151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3"/>
      <c r="BK19" s="154"/>
      <c r="BL19" s="154"/>
      <c r="BM19" s="154"/>
      <c r="BN19" s="154"/>
      <c r="BO19" s="154"/>
      <c r="BP19" s="154"/>
      <c r="BQ19" s="154"/>
      <c r="BR19" s="154"/>
      <c r="BS19" s="155"/>
      <c r="BT19" s="155"/>
      <c r="BU19" s="155"/>
      <c r="BV19" s="155"/>
      <c r="BW19" s="155"/>
      <c r="BX19" s="155"/>
      <c r="BY19" s="155"/>
      <c r="BZ19" s="155"/>
      <c r="CA19" s="155"/>
    </row>
    <row r="20" spans="1:189" s="156" customFormat="1" ht="28.5" customHeight="1" x14ac:dyDescent="0.15">
      <c r="A20" s="145"/>
      <c r="B20" s="146"/>
      <c r="C20" s="147"/>
      <c r="D20" s="157" t="s">
        <v>109</v>
      </c>
      <c r="E20" s="159">
        <f>'Model Parameters'!K13</f>
        <v>582.58268121356252</v>
      </c>
      <c r="F20" s="157" t="s">
        <v>2</v>
      </c>
      <c r="G20" s="224" t="s">
        <v>106</v>
      </c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5"/>
      <c r="T20" s="148"/>
      <c r="U20" s="149"/>
      <c r="V20" s="149"/>
      <c r="W20" s="150"/>
      <c r="X20" s="151"/>
      <c r="Y20" s="151"/>
      <c r="Z20" s="151"/>
      <c r="AA20" s="151"/>
      <c r="AB20" s="151"/>
      <c r="AC20" s="151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3"/>
      <c r="BK20" s="154"/>
      <c r="BL20" s="154"/>
      <c r="BM20" s="154"/>
      <c r="BN20" s="154"/>
      <c r="BO20" s="154"/>
      <c r="BP20" s="154"/>
      <c r="BQ20" s="154"/>
      <c r="BR20" s="154"/>
      <c r="BS20" s="155"/>
      <c r="BT20" s="155"/>
      <c r="BU20" s="155"/>
      <c r="BV20" s="155"/>
      <c r="BW20" s="155"/>
      <c r="BX20" s="155"/>
      <c r="BY20" s="155"/>
      <c r="BZ20" s="155"/>
      <c r="CA20" s="155"/>
    </row>
    <row r="21" spans="1:189" s="156" customFormat="1" ht="28.5" customHeight="1" x14ac:dyDescent="0.15">
      <c r="A21" s="155"/>
      <c r="B21" s="146"/>
      <c r="C21" s="147"/>
      <c r="D21" s="157" t="s">
        <v>110</v>
      </c>
      <c r="E21" s="159">
        <f>'Model Parameters'!J14</f>
        <v>1030.062298180756</v>
      </c>
      <c r="F21" s="157" t="s">
        <v>2</v>
      </c>
      <c r="G21" s="226" t="s">
        <v>17</v>
      </c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7"/>
      <c r="T21" s="148"/>
      <c r="U21" s="149"/>
      <c r="V21" s="149"/>
      <c r="W21" s="150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2"/>
      <c r="AM21" s="152"/>
      <c r="AN21" s="152"/>
      <c r="AO21" s="152"/>
      <c r="AP21" s="152"/>
      <c r="AQ21" s="152"/>
      <c r="AR21" s="152"/>
      <c r="AS21" s="152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3"/>
      <c r="BK21" s="154"/>
      <c r="BL21" s="154"/>
      <c r="BM21" s="154"/>
      <c r="BN21" s="154"/>
      <c r="BO21" s="154"/>
      <c r="BP21" s="154"/>
      <c r="BQ21" s="154"/>
      <c r="BR21" s="154"/>
      <c r="BS21" s="155"/>
      <c r="BT21" s="155"/>
      <c r="BU21" s="155"/>
      <c r="BV21" s="155"/>
      <c r="BW21" s="155"/>
      <c r="BX21" s="155"/>
      <c r="BY21" s="155"/>
      <c r="BZ21" s="155"/>
      <c r="CA21" s="155"/>
    </row>
    <row r="22" spans="1:189" ht="15" customHeight="1" x14ac:dyDescent="0.15">
      <c r="B22" s="96"/>
      <c r="C22" s="107"/>
      <c r="D22" s="120" t="s">
        <v>3</v>
      </c>
      <c r="E22" s="126">
        <f>(E21-E19)/E20</f>
        <v>1.3168728287881093</v>
      </c>
      <c r="F22" s="121"/>
      <c r="G22" s="34" t="s">
        <v>4</v>
      </c>
      <c r="H22" s="35"/>
      <c r="I22" s="36"/>
      <c r="J22" s="35"/>
      <c r="K22" s="35"/>
      <c r="L22" s="35"/>
      <c r="M22" s="36"/>
      <c r="N22" s="35"/>
      <c r="O22" s="35"/>
      <c r="P22" s="36"/>
      <c r="Q22" s="36"/>
      <c r="R22" s="36"/>
      <c r="S22" s="37"/>
      <c r="T22" s="97"/>
      <c r="U22" s="75"/>
      <c r="V22" s="83"/>
      <c r="W22" s="83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3"/>
      <c r="AM22" s="73"/>
      <c r="AN22" s="73"/>
      <c r="AO22" s="73"/>
      <c r="AP22" s="73"/>
      <c r="AQ22" s="73"/>
      <c r="AR22" s="73"/>
      <c r="AS22" s="73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7"/>
      <c r="BK22" s="10"/>
      <c r="BL22" s="10"/>
      <c r="BM22" s="10"/>
      <c r="BN22" s="10"/>
      <c r="BO22" s="10"/>
      <c r="BP22" s="10"/>
      <c r="BQ22" s="10"/>
      <c r="BR22" s="10"/>
    </row>
    <row r="23" spans="1:189" ht="15" customHeight="1" x14ac:dyDescent="0.25">
      <c r="B23" s="96"/>
      <c r="C23" s="107"/>
      <c r="D23" s="120" t="s">
        <v>9</v>
      </c>
      <c r="E23" s="127">
        <f>'Model Parameters'!K16</f>
        <v>1.4107433486031249</v>
      </c>
      <c r="F23" s="122" t="s">
        <v>5</v>
      </c>
      <c r="G23" s="34" t="s">
        <v>6</v>
      </c>
      <c r="H23" s="35"/>
      <c r="I23" s="36"/>
      <c r="J23" s="35"/>
      <c r="K23" s="35"/>
      <c r="L23" s="35"/>
      <c r="M23" s="36"/>
      <c r="N23" s="35"/>
      <c r="O23" s="35"/>
      <c r="P23" s="36"/>
      <c r="Q23" s="36"/>
      <c r="R23" s="36"/>
      <c r="S23" s="37"/>
      <c r="T23" s="97"/>
      <c r="U23" s="84"/>
      <c r="V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3"/>
      <c r="AM23" s="73"/>
      <c r="AN23" s="73"/>
      <c r="AO23" s="73"/>
      <c r="AP23" s="73"/>
      <c r="AQ23" s="73"/>
      <c r="AR23" s="73"/>
      <c r="AS23" s="73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7"/>
      <c r="BK23" s="10"/>
      <c r="BL23" s="10"/>
      <c r="BM23" s="10"/>
      <c r="BN23" s="10"/>
      <c r="BO23" s="10"/>
      <c r="BP23" s="10"/>
      <c r="BQ23" s="10"/>
      <c r="BR23" s="10"/>
    </row>
    <row r="24" spans="1:189" ht="15" customHeight="1" x14ac:dyDescent="0.25">
      <c r="B24" s="96"/>
      <c r="C24" s="107"/>
      <c r="D24" s="120" t="s">
        <v>117</v>
      </c>
      <c r="E24" s="127">
        <f>'Model Parameters'!K18</f>
        <v>3.1603439446546879</v>
      </c>
      <c r="F24" s="122" t="s">
        <v>5</v>
      </c>
      <c r="G24" s="140" t="s">
        <v>118</v>
      </c>
      <c r="H24" s="35"/>
      <c r="I24" s="36"/>
      <c r="J24" s="35"/>
      <c r="K24" s="35"/>
      <c r="L24" s="35"/>
      <c r="M24" s="36"/>
      <c r="N24" s="35"/>
      <c r="O24" s="35"/>
      <c r="P24" s="36"/>
      <c r="Q24" s="25"/>
      <c r="R24" s="25"/>
      <c r="S24" s="108"/>
      <c r="T24" s="97"/>
      <c r="U24" s="84"/>
      <c r="V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3"/>
      <c r="AM24" s="73"/>
      <c r="AN24" s="73"/>
      <c r="AO24" s="73"/>
      <c r="AP24" s="73"/>
      <c r="AQ24" s="73"/>
      <c r="AR24" s="73"/>
      <c r="AS24" s="73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7"/>
      <c r="BK24" s="10"/>
      <c r="BL24" s="10"/>
      <c r="BM24" s="10"/>
      <c r="BN24" s="10"/>
      <c r="BO24" s="10"/>
      <c r="BP24" s="10"/>
      <c r="BQ24" s="10"/>
      <c r="BR24" s="10"/>
    </row>
    <row r="25" spans="1:189" ht="15" customHeight="1" x14ac:dyDescent="0.25">
      <c r="B25" s="96"/>
      <c r="C25" s="107"/>
      <c r="D25" s="120" t="s">
        <v>10</v>
      </c>
      <c r="E25" s="127">
        <f>'Model Parameters'!K17</f>
        <v>6.8421450245078121</v>
      </c>
      <c r="F25" s="122" t="s">
        <v>5</v>
      </c>
      <c r="G25" s="140" t="s">
        <v>102</v>
      </c>
      <c r="H25" s="35"/>
      <c r="I25" s="36"/>
      <c r="J25" s="35"/>
      <c r="K25" s="35"/>
      <c r="L25" s="35"/>
      <c r="M25" s="36"/>
      <c r="N25" s="35"/>
      <c r="O25" s="35"/>
      <c r="P25" s="36"/>
      <c r="Q25" s="36"/>
      <c r="R25" s="36"/>
      <c r="S25" s="37"/>
      <c r="T25" s="97"/>
      <c r="U25" s="85"/>
      <c r="V25" s="76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3"/>
      <c r="AM25" s="73"/>
      <c r="AN25" s="73"/>
      <c r="AO25" s="73"/>
      <c r="AP25" s="73"/>
      <c r="AQ25" s="73"/>
      <c r="AR25" s="73"/>
      <c r="AS25" s="73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7"/>
      <c r="BK25" s="10"/>
      <c r="BL25" s="10"/>
      <c r="BM25" s="10"/>
      <c r="BN25" s="10"/>
      <c r="BO25" s="10"/>
      <c r="BP25" s="10"/>
      <c r="BQ25" s="10"/>
      <c r="BR25" s="10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</row>
    <row r="26" spans="1:189" ht="15" customHeight="1" x14ac:dyDescent="0.25">
      <c r="B26" s="96"/>
      <c r="C26" s="107"/>
      <c r="D26" s="120" t="s">
        <v>49</v>
      </c>
      <c r="E26" s="123" t="str">
        <f>'Reference Nozzles'!B13</f>
        <v>EXT. COARSE</v>
      </c>
      <c r="F26" s="122"/>
      <c r="G26" s="38" t="s">
        <v>18</v>
      </c>
      <c r="H26" s="35"/>
      <c r="I26" s="36"/>
      <c r="J26" s="35"/>
      <c r="K26" s="35"/>
      <c r="L26" s="35"/>
      <c r="M26" s="36"/>
      <c r="N26" s="35"/>
      <c r="O26" s="35"/>
      <c r="P26" s="36"/>
      <c r="Q26" s="36"/>
      <c r="R26" s="36"/>
      <c r="S26" s="37"/>
      <c r="T26" s="97"/>
      <c r="U26" s="85"/>
      <c r="V26" s="76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3"/>
      <c r="AM26" s="73"/>
      <c r="AN26" s="73"/>
      <c r="AO26" s="73"/>
      <c r="AP26" s="73"/>
      <c r="AQ26" s="73"/>
      <c r="AR26" s="73"/>
      <c r="AS26" s="73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7"/>
      <c r="BK26" s="10"/>
      <c r="BL26" s="10"/>
      <c r="BM26" s="10"/>
      <c r="BN26" s="10"/>
      <c r="BO26" s="10"/>
      <c r="BP26" s="10"/>
      <c r="BQ26" s="10"/>
      <c r="BR26" s="10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</row>
    <row r="27" spans="1:189" ht="15" customHeight="1" x14ac:dyDescent="0.25">
      <c r="B27" s="96"/>
      <c r="C27" s="107"/>
      <c r="D27" s="120" t="s">
        <v>50</v>
      </c>
      <c r="E27" s="123" t="str">
        <f>'Reference Nozzles'!B14</f>
        <v>EXT. COARSE</v>
      </c>
      <c r="F27" s="122"/>
      <c r="G27" s="38" t="s">
        <v>19</v>
      </c>
      <c r="H27" s="35"/>
      <c r="I27" s="36"/>
      <c r="J27" s="35"/>
      <c r="K27" s="35"/>
      <c r="L27" s="35"/>
      <c r="M27" s="36"/>
      <c r="N27" s="35"/>
      <c r="O27" s="35"/>
      <c r="P27" s="36"/>
      <c r="Q27" s="36"/>
      <c r="R27" s="36"/>
      <c r="S27" s="37"/>
      <c r="T27" s="97"/>
      <c r="U27" s="85"/>
      <c r="V27" s="76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3"/>
      <c r="AM27" s="73"/>
      <c r="AN27" s="73"/>
      <c r="AO27" s="73"/>
      <c r="AP27" s="73"/>
      <c r="AQ27" s="73"/>
      <c r="AR27" s="73"/>
      <c r="AS27" s="73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7"/>
      <c r="BK27" s="10"/>
      <c r="BL27" s="10"/>
      <c r="BM27" s="10"/>
      <c r="BN27" s="10"/>
      <c r="BO27" s="10"/>
      <c r="BP27" s="10"/>
      <c r="BQ27" s="10"/>
      <c r="BR27" s="10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</row>
    <row r="28" spans="1:189" ht="15" customHeight="1" x14ac:dyDescent="0.25">
      <c r="B28" s="96"/>
      <c r="C28" s="107"/>
      <c r="D28" s="120" t="s">
        <v>103</v>
      </c>
      <c r="E28" s="123" t="str">
        <f>'Reference Nozzles'!B15</f>
        <v>EXT. COARSE</v>
      </c>
      <c r="F28" s="122"/>
      <c r="G28" s="38" t="s">
        <v>105</v>
      </c>
      <c r="H28" s="35"/>
      <c r="I28" s="36"/>
      <c r="J28" s="35"/>
      <c r="K28" s="35"/>
      <c r="L28" s="35"/>
      <c r="M28" s="36"/>
      <c r="N28" s="35"/>
      <c r="O28" s="35"/>
      <c r="P28" s="36"/>
      <c r="Q28" s="36"/>
      <c r="R28" s="36"/>
      <c r="S28" s="37"/>
      <c r="T28" s="97"/>
      <c r="U28" s="85"/>
      <c r="V28" s="76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3"/>
      <c r="AM28" s="73"/>
      <c r="AN28" s="73"/>
      <c r="AO28" s="73"/>
      <c r="AP28" s="73"/>
      <c r="AQ28" s="73"/>
      <c r="AR28" s="73"/>
      <c r="AS28" s="73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7"/>
      <c r="BK28" s="10"/>
      <c r="BL28" s="10"/>
      <c r="BM28" s="10"/>
      <c r="BN28" s="10"/>
      <c r="BO28" s="10"/>
      <c r="BP28" s="10"/>
      <c r="BQ28" s="10"/>
      <c r="BR28" s="10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</row>
    <row r="29" spans="1:189" ht="15" customHeight="1" x14ac:dyDescent="0.15">
      <c r="B29" s="96"/>
      <c r="C29" s="107"/>
      <c r="D29" s="175" t="s">
        <v>20</v>
      </c>
      <c r="E29" s="176" t="str">
        <f>'Reference Nozzles'!B16</f>
        <v>EXT. COARSE</v>
      </c>
      <c r="F29" s="177"/>
      <c r="G29" s="178" t="s">
        <v>111</v>
      </c>
      <c r="H29" s="179"/>
      <c r="I29" s="180"/>
      <c r="J29" s="181"/>
      <c r="K29" s="181"/>
      <c r="L29" s="181"/>
      <c r="M29" s="182"/>
      <c r="N29" s="35"/>
      <c r="O29" s="35"/>
      <c r="P29" s="36"/>
      <c r="Q29" s="36"/>
      <c r="R29" s="36"/>
      <c r="S29" s="37"/>
      <c r="T29" s="97"/>
      <c r="U29" s="85"/>
      <c r="V29" s="76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3"/>
      <c r="AM29" s="73"/>
      <c r="AN29" s="73"/>
      <c r="AO29" s="73"/>
      <c r="AP29" s="73"/>
      <c r="AQ29" s="73"/>
      <c r="AR29" s="73"/>
      <c r="AS29" s="73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7"/>
      <c r="BK29" s="10"/>
      <c r="BL29" s="10"/>
      <c r="BM29" s="10"/>
      <c r="BN29" s="10"/>
      <c r="BO29" s="10"/>
      <c r="BP29" s="10"/>
      <c r="BQ29" s="10"/>
      <c r="BR29" s="10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</row>
    <row r="30" spans="1:189" ht="14.25" customHeight="1" thickBot="1" x14ac:dyDescent="0.2">
      <c r="B30" s="96"/>
      <c r="C30" s="19"/>
      <c r="D30" s="19"/>
      <c r="E30" s="19"/>
      <c r="F30" s="19"/>
      <c r="G30" s="21"/>
      <c r="H30" s="21"/>
      <c r="I30" s="19"/>
      <c r="J30" s="19"/>
      <c r="K30" s="22" t="s">
        <v>1</v>
      </c>
      <c r="L30" s="21"/>
      <c r="M30" s="19"/>
      <c r="N30" s="21"/>
      <c r="O30" s="21"/>
      <c r="P30" s="19"/>
      <c r="Q30" s="19"/>
      <c r="R30" s="19"/>
      <c r="S30" s="19"/>
      <c r="T30" s="97"/>
      <c r="U30" s="75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3"/>
      <c r="AM30" s="73"/>
      <c r="AN30" s="73"/>
      <c r="AO30" s="73"/>
      <c r="AP30" s="73"/>
      <c r="AQ30" s="73"/>
      <c r="AR30" s="73"/>
      <c r="AS30" s="73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7"/>
      <c r="BK30" s="10"/>
      <c r="BL30" s="10"/>
      <c r="BM30" s="10"/>
      <c r="BN30" s="10"/>
      <c r="BO30" s="10"/>
      <c r="BP30" s="10"/>
      <c r="BQ30" s="10"/>
      <c r="BR30" s="10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</row>
    <row r="31" spans="1:189" ht="13" x14ac:dyDescent="0.15">
      <c r="B31" s="96"/>
      <c r="C31" s="231" t="s">
        <v>172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3"/>
      <c r="T31" s="97"/>
      <c r="U31" s="75"/>
      <c r="V31" s="76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3"/>
      <c r="AM31" s="73"/>
      <c r="AN31" s="73"/>
      <c r="AO31" s="73"/>
      <c r="AP31" s="73"/>
      <c r="AQ31" s="73"/>
      <c r="AR31" s="73"/>
      <c r="AS31" s="73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7"/>
      <c r="BK31" s="10"/>
      <c r="BL31" s="10"/>
      <c r="BM31" s="10"/>
      <c r="BN31" s="10"/>
      <c r="BO31" s="10"/>
      <c r="BP31" s="10"/>
      <c r="BQ31" s="10"/>
      <c r="BR31" s="10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</row>
    <row r="32" spans="1:189" ht="13" x14ac:dyDescent="0.15">
      <c r="B32" s="96"/>
      <c r="C32" s="234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6"/>
      <c r="T32" s="97"/>
      <c r="U32" s="75"/>
      <c r="V32" s="76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3"/>
      <c r="AM32" s="73"/>
      <c r="AN32" s="73"/>
      <c r="AO32" s="73"/>
      <c r="AP32" s="73"/>
      <c r="AQ32" s="73"/>
      <c r="AR32" s="73"/>
      <c r="AS32" s="73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7"/>
      <c r="BK32" s="10"/>
      <c r="BL32" s="10"/>
      <c r="BM32" s="10"/>
      <c r="BN32" s="10"/>
      <c r="BO32" s="10"/>
      <c r="BP32" s="10"/>
      <c r="BQ32" s="10"/>
      <c r="BR32" s="10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</row>
    <row r="33" spans="1:189" ht="13" x14ac:dyDescent="0.15">
      <c r="B33" s="96"/>
      <c r="C33" s="234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6"/>
      <c r="T33" s="97"/>
      <c r="U33" s="75"/>
      <c r="V33" s="76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3"/>
      <c r="AM33" s="73"/>
      <c r="AN33" s="73"/>
      <c r="AO33" s="73"/>
      <c r="AP33" s="73"/>
      <c r="AQ33" s="73"/>
      <c r="AR33" s="73"/>
      <c r="AS33" s="73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7"/>
      <c r="BK33" s="10"/>
      <c r="BL33" s="10"/>
      <c r="BM33" s="10"/>
      <c r="BN33" s="10"/>
      <c r="BO33" s="10"/>
      <c r="BP33" s="10"/>
      <c r="BQ33" s="10"/>
      <c r="BR33" s="10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</row>
    <row r="34" spans="1:189" ht="20" x14ac:dyDescent="0.2">
      <c r="B34" s="96"/>
      <c r="C34" s="107"/>
      <c r="D34" s="223" t="s">
        <v>139</v>
      </c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108"/>
      <c r="T34" s="97"/>
      <c r="U34" s="75"/>
      <c r="V34" s="76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3"/>
      <c r="AM34" s="73"/>
      <c r="AN34" s="73"/>
      <c r="AO34" s="73"/>
      <c r="AP34" s="73"/>
      <c r="AQ34" s="73"/>
      <c r="AR34" s="73"/>
      <c r="AS34" s="73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7"/>
      <c r="BK34" s="10"/>
      <c r="BL34" s="10"/>
      <c r="BM34" s="10"/>
      <c r="BN34" s="10"/>
      <c r="BO34" s="10"/>
      <c r="BP34" s="10"/>
      <c r="BQ34" s="10"/>
      <c r="BR34" s="10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</row>
    <row r="35" spans="1:189" ht="17" thickBot="1" x14ac:dyDescent="0.25">
      <c r="B35" s="96"/>
      <c r="C35" s="109"/>
      <c r="D35" s="110"/>
      <c r="E35" s="110"/>
      <c r="F35" s="110"/>
      <c r="G35" s="112"/>
      <c r="H35" s="112"/>
      <c r="I35" s="110"/>
      <c r="J35" s="112"/>
      <c r="K35" s="112"/>
      <c r="L35" s="112"/>
      <c r="M35" s="110"/>
      <c r="N35" s="112"/>
      <c r="O35" s="112"/>
      <c r="P35" s="110"/>
      <c r="Q35" s="110"/>
      <c r="R35" s="110"/>
      <c r="S35" s="193"/>
      <c r="T35" s="97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3"/>
      <c r="AM35" s="73"/>
      <c r="AN35" s="73"/>
      <c r="AO35" s="73"/>
      <c r="AP35" s="73"/>
      <c r="AQ35" s="73"/>
      <c r="AR35" s="73"/>
      <c r="AS35" s="73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7"/>
      <c r="BK35" s="10"/>
      <c r="BL35" s="10"/>
      <c r="BM35" s="10"/>
      <c r="BN35" s="10"/>
      <c r="BO35" s="10"/>
      <c r="BP35" s="10"/>
      <c r="BQ35" s="10"/>
      <c r="BR35" s="10"/>
    </row>
    <row r="36" spans="1:189" ht="19" thickBot="1" x14ac:dyDescent="0.25">
      <c r="B36" s="96"/>
      <c r="C36" s="109"/>
      <c r="D36" s="194">
        <v>5</v>
      </c>
      <c r="E36" s="195" t="s">
        <v>140</v>
      </c>
      <c r="F36" s="195" t="s">
        <v>141</v>
      </c>
      <c r="G36" s="196"/>
      <c r="H36" s="196"/>
      <c r="I36" s="197"/>
      <c r="J36" s="196"/>
      <c r="K36" s="196"/>
      <c r="L36" s="196"/>
      <c r="M36" s="197"/>
      <c r="N36" s="198"/>
      <c r="O36" s="112"/>
      <c r="P36" s="110"/>
      <c r="Q36" s="110"/>
      <c r="R36" s="110"/>
      <c r="S36" s="193"/>
      <c r="T36" s="97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3"/>
      <c r="AM36" s="73"/>
      <c r="AN36" s="73"/>
      <c r="AO36" s="73"/>
      <c r="AP36" s="73"/>
      <c r="AQ36" s="73"/>
      <c r="AR36" s="73"/>
      <c r="AS36" s="73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7"/>
      <c r="BK36" s="10"/>
      <c r="BL36" s="10"/>
      <c r="BM36" s="10"/>
      <c r="BN36" s="10"/>
      <c r="BO36" s="10"/>
      <c r="BP36" s="10"/>
      <c r="BQ36" s="10"/>
      <c r="BR36" s="10"/>
    </row>
    <row r="37" spans="1:189" ht="19" thickBot="1" x14ac:dyDescent="0.25">
      <c r="B37" s="96"/>
      <c r="C37" s="109"/>
      <c r="D37" s="194">
        <v>50</v>
      </c>
      <c r="E37" s="199" t="s">
        <v>142</v>
      </c>
      <c r="F37" s="199" t="s">
        <v>143</v>
      </c>
      <c r="G37" s="200"/>
      <c r="H37" s="200"/>
      <c r="I37" s="199"/>
      <c r="J37" s="200"/>
      <c r="K37" s="200"/>
      <c r="L37" s="200"/>
      <c r="M37" s="199"/>
      <c r="N37" s="201"/>
      <c r="O37" s="202"/>
      <c r="P37" s="203"/>
      <c r="Q37" s="110"/>
      <c r="R37" s="110"/>
      <c r="S37" s="193"/>
      <c r="T37" s="97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3"/>
      <c r="AM37" s="73"/>
      <c r="AN37" s="73"/>
      <c r="AO37" s="73"/>
      <c r="AP37" s="73"/>
      <c r="AQ37" s="73"/>
      <c r="AR37" s="73"/>
      <c r="AS37" s="73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7"/>
      <c r="BK37" s="10"/>
      <c r="BL37" s="10"/>
      <c r="BM37" s="10"/>
      <c r="BN37" s="10"/>
      <c r="BO37" s="10"/>
      <c r="BP37" s="10"/>
      <c r="BQ37" s="10"/>
      <c r="BR37" s="10"/>
    </row>
    <row r="38" spans="1:189" ht="16" x14ac:dyDescent="0.2">
      <c r="B38" s="96"/>
      <c r="C38" s="109"/>
      <c r="D38" s="203"/>
      <c r="E38" s="203"/>
      <c r="F38" s="203"/>
      <c r="G38" s="202"/>
      <c r="H38" s="202"/>
      <c r="I38" s="203"/>
      <c r="J38" s="202"/>
      <c r="K38" s="202"/>
      <c r="L38" s="202"/>
      <c r="M38" s="203"/>
      <c r="N38" s="202"/>
      <c r="O38" s="202"/>
      <c r="P38" s="203"/>
      <c r="Q38" s="110"/>
      <c r="R38" s="110"/>
      <c r="S38" s="193"/>
      <c r="T38" s="97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3"/>
      <c r="AM38" s="73"/>
      <c r="AN38" s="73"/>
      <c r="AO38" s="73"/>
      <c r="AP38" s="73"/>
      <c r="AQ38" s="73"/>
      <c r="AR38" s="73"/>
      <c r="AS38" s="73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7"/>
      <c r="BK38" s="10"/>
      <c r="BL38" s="10"/>
      <c r="BM38" s="10"/>
      <c r="BN38" s="10"/>
      <c r="BO38" s="10"/>
      <c r="BP38" s="10"/>
      <c r="BQ38" s="10"/>
      <c r="BR38" s="10"/>
    </row>
    <row r="39" spans="1:189" ht="18" x14ac:dyDescent="0.2">
      <c r="B39" s="96"/>
      <c r="C39" s="109"/>
      <c r="D39" s="204">
        <f>'Nozzle Flow Rates'!L23</f>
        <v>60.606060606060609</v>
      </c>
      <c r="E39" s="205" t="s">
        <v>144</v>
      </c>
      <c r="F39" s="205" t="s">
        <v>145</v>
      </c>
      <c r="G39" s="206"/>
      <c r="H39" s="206"/>
      <c r="I39" s="205"/>
      <c r="J39" s="206"/>
      <c r="K39" s="206"/>
      <c r="L39" s="206"/>
      <c r="M39" s="205"/>
      <c r="N39" s="207"/>
      <c r="O39" s="207"/>
      <c r="P39" s="203"/>
      <c r="Q39" s="110"/>
      <c r="R39" s="110"/>
      <c r="S39" s="193"/>
      <c r="T39" s="97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3"/>
      <c r="AM39" s="73"/>
      <c r="AN39" s="73"/>
      <c r="AO39" s="73"/>
      <c r="AP39" s="73"/>
      <c r="AQ39" s="73"/>
      <c r="AR39" s="73"/>
      <c r="AS39" s="73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7"/>
      <c r="BK39" s="10"/>
      <c r="BL39" s="10"/>
      <c r="BM39" s="10"/>
      <c r="BN39" s="10"/>
      <c r="BO39" s="10"/>
      <c r="BP39" s="10"/>
      <c r="BQ39" s="10"/>
      <c r="BR39" s="10"/>
    </row>
    <row r="40" spans="1:189" ht="18" x14ac:dyDescent="0.2">
      <c r="B40" s="96"/>
      <c r="C40" s="109"/>
      <c r="D40" s="208"/>
      <c r="E40" s="209"/>
      <c r="F40" s="209"/>
      <c r="G40" s="207"/>
      <c r="H40" s="207"/>
      <c r="I40" s="209"/>
      <c r="J40" s="207"/>
      <c r="K40" s="207"/>
      <c r="L40" s="207"/>
      <c r="M40" s="209"/>
      <c r="N40" s="207"/>
      <c r="O40" s="207"/>
      <c r="P40" s="203"/>
      <c r="Q40" s="110"/>
      <c r="R40" s="110"/>
      <c r="S40" s="193"/>
      <c r="T40" s="97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3"/>
      <c r="AM40" s="73"/>
      <c r="AN40" s="73"/>
      <c r="AO40" s="73"/>
      <c r="AP40" s="73"/>
      <c r="AQ40" s="73"/>
      <c r="AR40" s="73"/>
      <c r="AS40" s="73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7"/>
      <c r="BK40" s="10"/>
      <c r="BL40" s="10"/>
      <c r="BM40" s="10"/>
      <c r="BN40" s="10"/>
      <c r="BO40" s="10"/>
      <c r="BP40" s="10"/>
      <c r="BQ40" s="10"/>
      <c r="BR40" s="10"/>
    </row>
    <row r="41" spans="1:189" ht="18" x14ac:dyDescent="0.2">
      <c r="B41" s="96"/>
      <c r="C41" s="109"/>
      <c r="D41" s="210">
        <f>'Nozzle Flow Rates'!L20</f>
        <v>1.2994292180645721</v>
      </c>
      <c r="E41" s="209" t="s">
        <v>144</v>
      </c>
      <c r="F41" s="209" t="s">
        <v>146</v>
      </c>
      <c r="G41" s="211"/>
      <c r="H41" s="211"/>
      <c r="I41" s="212"/>
      <c r="J41" s="211"/>
      <c r="K41" s="211"/>
      <c r="L41" s="211"/>
      <c r="M41" s="212"/>
      <c r="N41" s="211"/>
      <c r="O41" s="211"/>
      <c r="P41" s="110"/>
      <c r="Q41" s="110"/>
      <c r="R41" s="110"/>
      <c r="S41" s="193"/>
      <c r="T41" s="97"/>
      <c r="U41" s="72"/>
      <c r="V41" s="72"/>
      <c r="W41" s="72"/>
      <c r="X41" s="72"/>
      <c r="Y41" s="72"/>
      <c r="Z41" s="72"/>
      <c r="AA41" s="72"/>
      <c r="AB41" s="72"/>
      <c r="AC41" s="72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7"/>
      <c r="BK41" s="10"/>
      <c r="BL41" s="10"/>
      <c r="BM41" s="10"/>
      <c r="BN41" s="10"/>
      <c r="BO41" s="10"/>
      <c r="BP41" s="10"/>
      <c r="BQ41" s="10"/>
      <c r="BR41" s="10"/>
    </row>
    <row r="42" spans="1:189" ht="18" x14ac:dyDescent="0.2">
      <c r="B42" s="96"/>
      <c r="C42" s="109"/>
      <c r="D42" s="213"/>
      <c r="E42" s="212"/>
      <c r="F42" s="212"/>
      <c r="G42" s="211"/>
      <c r="H42" s="211"/>
      <c r="I42" s="212"/>
      <c r="J42" s="211"/>
      <c r="K42" s="211"/>
      <c r="L42" s="211"/>
      <c r="M42" s="212"/>
      <c r="N42" s="211"/>
      <c r="O42" s="211"/>
      <c r="P42" s="110"/>
      <c r="Q42" s="110"/>
      <c r="R42" s="110"/>
      <c r="S42" s="193"/>
      <c r="T42" s="97"/>
      <c r="U42" s="72"/>
      <c r="V42" s="72"/>
      <c r="W42" s="72"/>
      <c r="X42" s="72"/>
      <c r="Y42" s="72"/>
      <c r="Z42" s="72"/>
      <c r="AA42" s="72"/>
      <c r="AB42" s="72"/>
      <c r="AC42" s="72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7"/>
      <c r="BK42" s="10"/>
      <c r="BL42" s="10"/>
      <c r="BM42" s="10"/>
      <c r="BN42" s="10"/>
      <c r="BO42" s="10"/>
      <c r="BP42" s="10"/>
      <c r="BQ42" s="10"/>
      <c r="BR42" s="10"/>
    </row>
    <row r="43" spans="1:189" ht="18" x14ac:dyDescent="0.2">
      <c r="B43" s="96"/>
      <c r="C43" s="109"/>
      <c r="D43" s="214">
        <f>D39/D41</f>
        <v>46.640524750036008</v>
      </c>
      <c r="E43" s="209" t="s">
        <v>147</v>
      </c>
      <c r="F43" s="209" t="s">
        <v>148</v>
      </c>
      <c r="G43" s="207"/>
      <c r="H43" s="207"/>
      <c r="I43" s="209"/>
      <c r="J43" s="207"/>
      <c r="K43" s="207"/>
      <c r="L43" s="211"/>
      <c r="M43" s="212"/>
      <c r="N43" s="211"/>
      <c r="O43" s="211"/>
      <c r="P43" s="110"/>
      <c r="Q43" s="110"/>
      <c r="R43" s="110"/>
      <c r="S43" s="193"/>
      <c r="T43" s="97"/>
      <c r="U43" s="72"/>
      <c r="V43" s="72"/>
      <c r="W43" s="72"/>
      <c r="X43" s="72"/>
      <c r="Y43" s="72"/>
      <c r="Z43" s="72"/>
      <c r="AA43" s="72"/>
      <c r="AB43" s="72"/>
      <c r="AC43" s="72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7"/>
      <c r="BK43" s="10"/>
      <c r="BL43" s="10"/>
      <c r="BM43" s="10"/>
      <c r="BN43" s="10"/>
      <c r="BO43" s="10"/>
      <c r="BP43" s="10"/>
      <c r="BQ43" s="10"/>
      <c r="BR43" s="10"/>
    </row>
    <row r="44" spans="1:189" ht="17" thickBot="1" x14ac:dyDescent="0.25">
      <c r="B44" s="96"/>
      <c r="C44" s="215"/>
      <c r="D44" s="216"/>
      <c r="E44" s="217"/>
      <c r="F44" s="217"/>
      <c r="G44" s="217"/>
      <c r="H44" s="217"/>
      <c r="I44" s="217"/>
      <c r="J44" s="217"/>
      <c r="K44" s="218"/>
      <c r="L44" s="217"/>
      <c r="M44" s="217"/>
      <c r="N44" s="217"/>
      <c r="O44" s="217"/>
      <c r="P44" s="217"/>
      <c r="Q44" s="217"/>
      <c r="R44" s="217"/>
      <c r="S44" s="219"/>
      <c r="T44" s="97"/>
      <c r="U44" s="72"/>
      <c r="V44" s="26"/>
      <c r="W44" s="26"/>
      <c r="X44" s="26"/>
      <c r="Y44" s="26"/>
      <c r="Z44" s="26"/>
      <c r="AA44" s="26"/>
      <c r="AB44" s="26"/>
      <c r="AC44" s="72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7"/>
      <c r="BK44" s="10"/>
      <c r="BL44" s="10"/>
      <c r="BM44" s="10"/>
      <c r="BN44" s="10"/>
      <c r="BO44" s="10"/>
      <c r="BP44" s="10"/>
      <c r="BQ44" s="10"/>
      <c r="BR44" s="10"/>
    </row>
    <row r="45" spans="1:189" ht="8" customHeight="1" thickBot="1" x14ac:dyDescent="0.2">
      <c r="A45" s="10"/>
      <c r="B45" s="99"/>
      <c r="C45" s="100"/>
      <c r="D45" s="100"/>
      <c r="E45" s="100"/>
      <c r="F45" s="100"/>
      <c r="G45" s="100"/>
      <c r="H45" s="100"/>
      <c r="I45" s="100"/>
      <c r="J45" s="100"/>
      <c r="K45" s="101"/>
      <c r="L45" s="100"/>
      <c r="M45" s="100"/>
      <c r="N45" s="100"/>
      <c r="O45" s="100"/>
      <c r="P45" s="100"/>
      <c r="Q45" s="100"/>
      <c r="R45" s="100"/>
      <c r="S45" s="100"/>
      <c r="T45" s="102"/>
      <c r="U45" s="72"/>
      <c r="V45" s="72"/>
      <c r="W45" s="72"/>
      <c r="X45" s="72"/>
      <c r="Y45" s="72"/>
      <c r="Z45" s="72"/>
      <c r="AA45" s="72"/>
      <c r="AB45" s="72"/>
      <c r="AC45" s="72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7"/>
      <c r="BK45" s="10"/>
      <c r="BL45" s="10"/>
      <c r="BM45" s="10"/>
      <c r="BN45" s="10"/>
      <c r="BO45" s="10"/>
      <c r="BP45" s="10"/>
      <c r="BQ45" s="10"/>
      <c r="BR45" s="10"/>
    </row>
    <row r="46" spans="1:189" ht="12" customHeight="1" x14ac:dyDescent="0.15">
      <c r="C46" s="26"/>
      <c r="D46" s="26"/>
      <c r="E46" s="26"/>
      <c r="F46" s="26"/>
      <c r="G46" s="71"/>
      <c r="H46" s="71"/>
      <c r="I46" s="26"/>
      <c r="J46" s="71"/>
      <c r="K46" s="71"/>
      <c r="L46" s="71"/>
      <c r="M46" s="26"/>
      <c r="N46" s="71"/>
      <c r="O46" s="71"/>
      <c r="P46" s="26"/>
      <c r="Q46" s="26"/>
      <c r="R46" s="26"/>
      <c r="S46" s="26"/>
      <c r="T46" s="26"/>
      <c r="U46" s="72"/>
      <c r="V46" s="72"/>
      <c r="W46" s="72"/>
      <c r="X46" s="72"/>
      <c r="Y46" s="72"/>
      <c r="Z46" s="72"/>
      <c r="AA46" s="72"/>
      <c r="AB46" s="72"/>
      <c r="AC46" s="72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7"/>
      <c r="BK46" s="10"/>
      <c r="BL46" s="10"/>
      <c r="BM46" s="10"/>
      <c r="BN46" s="10"/>
      <c r="BO46" s="10"/>
      <c r="BP46" s="10"/>
      <c r="BQ46" s="10"/>
      <c r="BR46" s="10"/>
    </row>
    <row r="47" spans="1:189" ht="12" customHeight="1" x14ac:dyDescent="0.15">
      <c r="C47" s="26"/>
      <c r="D47" s="26"/>
      <c r="E47" s="26"/>
      <c r="F47" s="26"/>
      <c r="G47" s="71"/>
      <c r="H47" s="71"/>
      <c r="I47" s="26"/>
      <c r="J47" s="71"/>
      <c r="K47" s="71"/>
      <c r="L47" s="71"/>
      <c r="M47" s="26"/>
      <c r="N47" s="71"/>
      <c r="O47" s="71"/>
      <c r="P47" s="26"/>
      <c r="Q47" s="26"/>
      <c r="R47" s="26"/>
      <c r="S47" s="26"/>
      <c r="T47" s="26"/>
      <c r="U47" s="72"/>
      <c r="V47" s="72"/>
      <c r="W47" s="72"/>
      <c r="X47" s="72"/>
      <c r="Y47" s="72"/>
      <c r="Z47" s="72"/>
      <c r="AA47" s="72"/>
      <c r="AB47" s="72"/>
      <c r="AC47" s="72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7"/>
      <c r="BK47" s="10"/>
      <c r="BL47" s="10"/>
      <c r="BM47" s="10"/>
      <c r="BN47" s="10"/>
      <c r="BO47" s="10"/>
      <c r="BP47" s="10"/>
      <c r="BQ47" s="10"/>
      <c r="BR47" s="10"/>
    </row>
    <row r="48" spans="1:189" ht="12.75" customHeight="1" x14ac:dyDescent="0.15">
      <c r="C48" s="26"/>
      <c r="D48" s="26"/>
      <c r="E48" s="26"/>
      <c r="F48" s="26"/>
      <c r="G48" s="71"/>
      <c r="H48" s="71"/>
      <c r="I48" s="26"/>
      <c r="J48" s="71"/>
      <c r="K48" s="71"/>
      <c r="L48" s="71"/>
      <c r="M48" s="26"/>
      <c r="N48" s="71"/>
      <c r="O48" s="71"/>
      <c r="P48" s="26"/>
      <c r="Q48" s="26"/>
      <c r="R48" s="26"/>
      <c r="S48" s="26"/>
      <c r="T48" s="26"/>
      <c r="U48" s="72"/>
      <c r="V48" s="72"/>
      <c r="W48" s="72"/>
      <c r="X48" s="72"/>
      <c r="Y48" s="72"/>
      <c r="Z48" s="72"/>
      <c r="AA48" s="72"/>
      <c r="AB48" s="72"/>
      <c r="AC48" s="72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7"/>
      <c r="BK48" s="10"/>
      <c r="BL48" s="10"/>
      <c r="BM48" s="10"/>
      <c r="BN48" s="10"/>
      <c r="BO48" s="10"/>
      <c r="BP48" s="10"/>
      <c r="BQ48" s="10"/>
      <c r="BR48" s="10"/>
    </row>
    <row r="49" spans="3:62" ht="12.75" customHeight="1" x14ac:dyDescent="0.15">
      <c r="C49" s="26"/>
      <c r="D49" s="26"/>
      <c r="E49" s="26"/>
      <c r="F49" s="26"/>
      <c r="G49" s="71"/>
      <c r="H49" s="71"/>
      <c r="I49" s="26"/>
      <c r="J49" s="71"/>
      <c r="K49" s="71"/>
      <c r="L49" s="71"/>
      <c r="M49" s="26"/>
      <c r="N49" s="71"/>
      <c r="O49" s="71"/>
      <c r="P49" s="26"/>
      <c r="Q49" s="26"/>
      <c r="R49" s="26"/>
      <c r="S49" s="26"/>
      <c r="T49" s="26"/>
      <c r="U49" s="72"/>
      <c r="V49" s="72"/>
      <c r="W49" s="72"/>
      <c r="X49" s="72"/>
      <c r="Y49" s="72"/>
      <c r="Z49" s="72"/>
      <c r="AA49" s="72"/>
      <c r="AB49" s="72"/>
      <c r="AC49" s="72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26"/>
    </row>
    <row r="50" spans="3:62" ht="12.75" customHeight="1" x14ac:dyDescent="0.15">
      <c r="C50" s="26"/>
      <c r="D50" s="26"/>
      <c r="E50" s="26"/>
      <c r="F50" s="26"/>
      <c r="G50" s="71"/>
      <c r="H50" s="71"/>
      <c r="I50" s="26"/>
      <c r="J50" s="71"/>
      <c r="K50" s="71"/>
      <c r="L50" s="71"/>
      <c r="M50" s="26"/>
      <c r="N50" s="71"/>
      <c r="O50" s="71"/>
      <c r="P50" s="26"/>
      <c r="Q50" s="26"/>
      <c r="R50" s="26"/>
      <c r="S50" s="26"/>
      <c r="T50" s="26"/>
      <c r="U50" s="72"/>
      <c r="V50" s="72"/>
      <c r="W50" s="72"/>
      <c r="X50" s="72"/>
      <c r="Y50" s="72"/>
      <c r="Z50" s="72"/>
      <c r="AA50" s="72"/>
      <c r="AB50" s="72"/>
      <c r="AC50" s="72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26"/>
    </row>
    <row r="51" spans="3:62" ht="12.75" customHeight="1" x14ac:dyDescent="0.15">
      <c r="C51" s="26"/>
      <c r="D51" s="26"/>
      <c r="E51" s="26"/>
      <c r="F51" s="26"/>
      <c r="G51" s="71"/>
      <c r="H51" s="71"/>
      <c r="I51" s="26"/>
      <c r="J51" s="71"/>
      <c r="K51" s="71"/>
      <c r="L51" s="71"/>
      <c r="M51" s="26"/>
      <c r="N51" s="71"/>
      <c r="O51" s="71"/>
      <c r="P51" s="26"/>
      <c r="Q51" s="26"/>
      <c r="R51" s="26"/>
      <c r="S51" s="26"/>
      <c r="T51" s="26"/>
      <c r="U51" s="72"/>
      <c r="V51" s="72"/>
      <c r="W51" s="72"/>
      <c r="X51" s="72"/>
      <c r="Y51" s="72"/>
      <c r="Z51" s="72"/>
      <c r="AA51" s="72"/>
      <c r="AB51" s="72"/>
      <c r="AC51" s="72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26"/>
    </row>
    <row r="52" spans="3:62" ht="12.75" customHeight="1" x14ac:dyDescent="0.15">
      <c r="C52" s="26"/>
      <c r="D52" s="26"/>
      <c r="E52" s="26"/>
      <c r="F52" s="26"/>
      <c r="G52" s="71"/>
      <c r="H52" s="71"/>
      <c r="I52" s="26"/>
      <c r="J52" s="71"/>
      <c r="K52" s="71"/>
      <c r="L52" s="71"/>
      <c r="M52" s="26"/>
      <c r="N52" s="71"/>
      <c r="O52" s="71"/>
      <c r="P52" s="26"/>
      <c r="Q52" s="26"/>
      <c r="R52" s="26"/>
      <c r="S52" s="26"/>
      <c r="T52" s="26"/>
      <c r="U52" s="72"/>
      <c r="V52" s="72"/>
      <c r="W52" s="72"/>
      <c r="X52" s="72"/>
      <c r="Y52" s="72"/>
      <c r="Z52" s="72"/>
      <c r="AA52" s="72"/>
      <c r="AB52" s="72"/>
      <c r="AC52" s="72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26"/>
    </row>
    <row r="53" spans="3:62" ht="12.75" customHeight="1" x14ac:dyDescent="0.15">
      <c r="C53" s="26"/>
      <c r="D53" s="26"/>
      <c r="E53" s="26"/>
      <c r="F53" s="26"/>
      <c r="G53" s="71"/>
      <c r="H53" s="71"/>
      <c r="I53" s="26"/>
      <c r="J53" s="71"/>
      <c r="K53" s="71"/>
      <c r="L53" s="71"/>
      <c r="M53" s="26"/>
      <c r="N53" s="71"/>
      <c r="O53" s="71"/>
      <c r="P53" s="26"/>
      <c r="Q53" s="26"/>
      <c r="R53" s="26"/>
      <c r="S53" s="26"/>
      <c r="T53" s="26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26"/>
    </row>
    <row r="54" spans="3:62" ht="12.75" customHeight="1" x14ac:dyDescent="0.15">
      <c r="C54" s="26"/>
      <c r="D54" s="26"/>
      <c r="E54" s="26"/>
      <c r="F54" s="26"/>
      <c r="G54" s="71"/>
      <c r="H54" s="71"/>
      <c r="I54" s="26"/>
      <c r="J54" s="71"/>
      <c r="K54" s="71"/>
      <c r="L54" s="71"/>
      <c r="M54" s="26"/>
      <c r="N54" s="71"/>
      <c r="O54" s="71"/>
      <c r="P54" s="26"/>
      <c r="Q54" s="26"/>
      <c r="R54" s="26"/>
      <c r="S54" s="26"/>
      <c r="T54" s="26"/>
      <c r="U54" s="72"/>
      <c r="V54" s="72"/>
      <c r="W54" s="72"/>
      <c r="X54" s="72"/>
      <c r="Y54" s="72"/>
      <c r="Z54" s="72"/>
      <c r="AA54" s="72"/>
      <c r="AB54" s="72"/>
      <c r="AC54" s="72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26"/>
    </row>
    <row r="55" spans="3:62" ht="12.75" customHeight="1" x14ac:dyDescent="0.15">
      <c r="C55" s="26"/>
      <c r="D55" s="26"/>
      <c r="E55" s="26"/>
      <c r="F55" s="26"/>
      <c r="G55" s="71"/>
      <c r="H55" s="71"/>
      <c r="I55" s="26"/>
      <c r="J55" s="71"/>
      <c r="K55" s="71"/>
      <c r="L55" s="71"/>
      <c r="M55" s="26"/>
      <c r="N55" s="71"/>
      <c r="O55" s="71"/>
      <c r="P55" s="26"/>
      <c r="Q55" s="26"/>
      <c r="R55" s="26"/>
      <c r="S55" s="26"/>
      <c r="T55" s="26"/>
      <c r="U55" s="72"/>
      <c r="V55" s="72"/>
      <c r="W55" s="72"/>
      <c r="X55" s="72"/>
      <c r="Y55" s="72"/>
      <c r="Z55" s="72"/>
      <c r="AA55" s="72"/>
      <c r="AB55" s="72"/>
      <c r="AC55" s="72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26"/>
    </row>
    <row r="56" spans="3:62" ht="12.75" customHeight="1" x14ac:dyDescent="0.15">
      <c r="C56" s="26"/>
      <c r="D56" s="26"/>
      <c r="E56" s="26"/>
      <c r="F56" s="26"/>
      <c r="G56" s="71"/>
      <c r="H56" s="71"/>
      <c r="I56" s="26"/>
      <c r="J56" s="71"/>
      <c r="K56" s="71"/>
      <c r="L56" s="71"/>
      <c r="M56" s="26"/>
      <c r="N56" s="71"/>
      <c r="O56" s="71"/>
      <c r="P56" s="26"/>
      <c r="Q56" s="26"/>
      <c r="R56" s="26"/>
      <c r="S56" s="26"/>
      <c r="T56" s="26"/>
      <c r="U56" s="72"/>
      <c r="V56" s="72"/>
      <c r="W56" s="72"/>
      <c r="X56" s="72"/>
      <c r="Y56" s="72"/>
      <c r="Z56" s="72"/>
      <c r="AA56" s="72"/>
      <c r="AB56" s="72"/>
      <c r="AC56" s="72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26"/>
    </row>
    <row r="57" spans="3:62" ht="12.75" customHeight="1" x14ac:dyDescent="0.15">
      <c r="C57" s="26"/>
      <c r="D57" s="26"/>
      <c r="E57" s="26"/>
      <c r="F57" s="26"/>
      <c r="G57" s="71"/>
      <c r="H57" s="71"/>
      <c r="I57" s="26"/>
      <c r="J57" s="71"/>
      <c r="K57" s="71"/>
      <c r="L57" s="71"/>
      <c r="M57" s="26"/>
      <c r="N57" s="71"/>
      <c r="O57" s="71"/>
      <c r="P57" s="26"/>
      <c r="Q57" s="26"/>
      <c r="R57" s="26"/>
      <c r="S57" s="26"/>
      <c r="T57" s="26"/>
      <c r="U57" s="72"/>
      <c r="V57" s="72"/>
      <c r="W57" s="72"/>
      <c r="X57" s="72"/>
      <c r="Y57" s="72"/>
      <c r="Z57" s="72"/>
      <c r="AA57" s="72"/>
      <c r="AB57" s="72"/>
      <c r="AC57" s="72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26"/>
    </row>
    <row r="58" spans="3:62" s="1" customFormat="1" ht="12.75" customHeight="1" x14ac:dyDescent="0.15">
      <c r="C58" s="26"/>
      <c r="D58" s="26"/>
      <c r="E58" s="26"/>
      <c r="F58" s="26"/>
      <c r="G58" s="71"/>
      <c r="H58" s="71"/>
      <c r="I58" s="26"/>
      <c r="J58" s="71"/>
      <c r="K58" s="71"/>
      <c r="L58" s="71"/>
      <c r="M58" s="26"/>
      <c r="N58" s="71"/>
      <c r="O58" s="71"/>
      <c r="P58" s="26"/>
      <c r="Q58" s="26"/>
      <c r="R58" s="26"/>
      <c r="S58" s="26"/>
      <c r="T58" s="26"/>
      <c r="U58" s="72"/>
      <c r="V58" s="72"/>
      <c r="W58" s="72"/>
      <c r="X58" s="72"/>
      <c r="Y58" s="72"/>
      <c r="Z58" s="72"/>
      <c r="AA58" s="72"/>
      <c r="AB58" s="72"/>
      <c r="AC58" s="72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26"/>
    </row>
    <row r="59" spans="3:62" s="1" customFormat="1" ht="12.75" customHeight="1" x14ac:dyDescent="0.15">
      <c r="C59" s="26"/>
      <c r="D59" s="26"/>
      <c r="E59" s="26"/>
      <c r="F59" s="26"/>
      <c r="G59" s="71"/>
      <c r="H59" s="71"/>
      <c r="I59" s="26"/>
      <c r="J59" s="71"/>
      <c r="K59" s="71"/>
      <c r="L59" s="71"/>
      <c r="M59" s="26"/>
      <c r="N59" s="71"/>
      <c r="O59" s="71"/>
      <c r="P59" s="26"/>
      <c r="Q59" s="26"/>
      <c r="R59" s="26"/>
      <c r="S59" s="26"/>
      <c r="T59" s="26"/>
      <c r="U59" s="72"/>
      <c r="V59" s="72"/>
      <c r="W59" s="72"/>
      <c r="X59" s="72"/>
      <c r="Y59" s="72"/>
      <c r="Z59" s="72"/>
      <c r="AA59" s="72"/>
      <c r="AB59" s="72"/>
      <c r="AC59" s="72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26"/>
    </row>
    <row r="60" spans="3:62" s="1" customFormat="1" ht="12.75" customHeight="1" x14ac:dyDescent="0.15">
      <c r="C60" s="26"/>
      <c r="D60" s="26"/>
      <c r="E60" s="26"/>
      <c r="F60" s="26"/>
      <c r="G60" s="71"/>
      <c r="H60" s="71"/>
      <c r="I60" s="26"/>
      <c r="J60" s="71"/>
      <c r="K60" s="71"/>
      <c r="L60" s="71"/>
      <c r="M60" s="26"/>
      <c r="N60" s="71"/>
      <c r="O60" s="71"/>
      <c r="P60" s="26"/>
      <c r="Q60" s="26"/>
      <c r="R60" s="26"/>
      <c r="S60" s="26"/>
      <c r="T60" s="26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26"/>
    </row>
    <row r="61" spans="3:62" s="1" customFormat="1" ht="12.75" customHeight="1" x14ac:dyDescent="0.15">
      <c r="C61" s="26"/>
      <c r="D61" s="26"/>
      <c r="E61" s="26"/>
      <c r="F61" s="26"/>
      <c r="G61" s="71"/>
      <c r="H61" s="71"/>
      <c r="I61" s="26"/>
      <c r="J61" s="71"/>
      <c r="K61" s="71"/>
      <c r="L61" s="71"/>
      <c r="M61" s="26"/>
      <c r="N61" s="71"/>
      <c r="O61" s="71"/>
      <c r="P61" s="26"/>
      <c r="Q61" s="26"/>
      <c r="R61" s="26"/>
      <c r="S61" s="26"/>
      <c r="T61" s="26"/>
      <c r="U61" s="72"/>
      <c r="V61" s="72"/>
      <c r="W61" s="72"/>
      <c r="X61" s="72"/>
      <c r="Y61" s="72"/>
      <c r="Z61" s="72"/>
      <c r="AA61" s="72"/>
      <c r="AB61" s="72"/>
      <c r="AC61" s="72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26"/>
    </row>
    <row r="62" spans="3:62" s="1" customFormat="1" ht="12.75" customHeight="1" x14ac:dyDescent="0.15">
      <c r="C62" s="26"/>
      <c r="D62" s="26"/>
      <c r="E62" s="26"/>
      <c r="F62" s="26"/>
      <c r="G62" s="71"/>
      <c r="H62" s="71"/>
      <c r="I62" s="26"/>
      <c r="J62" s="71"/>
      <c r="K62" s="71"/>
      <c r="L62" s="71"/>
      <c r="M62" s="26"/>
      <c r="N62" s="71"/>
      <c r="O62" s="71"/>
      <c r="P62" s="26"/>
      <c r="Q62" s="26"/>
      <c r="R62" s="26"/>
      <c r="S62" s="26"/>
      <c r="T62" s="26"/>
      <c r="U62" s="72"/>
      <c r="V62" s="72"/>
      <c r="W62" s="72"/>
      <c r="X62" s="72"/>
      <c r="Y62" s="72"/>
      <c r="Z62" s="72"/>
      <c r="AA62" s="72"/>
      <c r="AB62" s="72"/>
      <c r="AC62" s="72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26"/>
    </row>
    <row r="63" spans="3:62" s="1" customFormat="1" ht="12.75" customHeight="1" x14ac:dyDescent="0.15">
      <c r="C63" s="26"/>
      <c r="D63" s="26"/>
      <c r="E63" s="26"/>
      <c r="F63" s="26"/>
      <c r="G63" s="71"/>
      <c r="H63" s="71"/>
      <c r="I63" s="26"/>
      <c r="J63" s="71"/>
      <c r="K63" s="71"/>
      <c r="L63" s="71"/>
      <c r="M63" s="26"/>
      <c r="N63" s="71"/>
      <c r="O63" s="71"/>
      <c r="P63" s="26"/>
      <c r="Q63" s="26"/>
      <c r="R63" s="26"/>
      <c r="S63" s="26"/>
      <c r="T63" s="26"/>
      <c r="U63" s="72"/>
      <c r="V63" s="72"/>
      <c r="W63" s="72"/>
      <c r="X63" s="72"/>
      <c r="Y63" s="72"/>
      <c r="Z63" s="72"/>
      <c r="AA63" s="72"/>
      <c r="AB63" s="72"/>
      <c r="AC63" s="72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26"/>
    </row>
    <row r="64" spans="3:62" s="1" customFormat="1" ht="12.75" customHeight="1" x14ac:dyDescent="0.15">
      <c r="C64" s="26"/>
      <c r="D64" s="26"/>
      <c r="E64" s="26"/>
      <c r="F64" s="26"/>
      <c r="G64" s="71"/>
      <c r="H64" s="71"/>
      <c r="I64" s="26"/>
      <c r="J64" s="71"/>
      <c r="K64" s="71"/>
      <c r="L64" s="71"/>
      <c r="M64" s="26"/>
      <c r="N64" s="71"/>
      <c r="O64" s="71"/>
      <c r="P64" s="26"/>
      <c r="Q64" s="26"/>
      <c r="R64" s="26"/>
      <c r="S64" s="26"/>
      <c r="T64" s="26"/>
      <c r="U64" s="72"/>
      <c r="V64" s="72"/>
      <c r="W64" s="72"/>
      <c r="X64" s="72"/>
      <c r="Y64" s="72"/>
      <c r="Z64" s="72"/>
      <c r="AA64" s="72"/>
      <c r="AB64" s="72"/>
      <c r="AC64" s="72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26"/>
    </row>
    <row r="65" spans="3:62" s="1" customFormat="1" ht="12.75" customHeight="1" x14ac:dyDescent="0.15">
      <c r="C65" s="26"/>
      <c r="D65" s="26"/>
      <c r="E65" s="26"/>
      <c r="F65" s="26"/>
      <c r="G65" s="71"/>
      <c r="H65" s="71"/>
      <c r="I65" s="26"/>
      <c r="J65" s="71"/>
      <c r="K65" s="71"/>
      <c r="L65" s="71"/>
      <c r="M65" s="26"/>
      <c r="N65" s="71"/>
      <c r="O65" s="71"/>
      <c r="P65" s="26"/>
      <c r="Q65" s="26"/>
      <c r="R65" s="26"/>
      <c r="S65" s="26"/>
      <c r="T65" s="26"/>
      <c r="U65" s="72"/>
      <c r="V65" s="72"/>
      <c r="W65" s="72"/>
      <c r="X65" s="72"/>
      <c r="Y65" s="72"/>
      <c r="Z65" s="72"/>
      <c r="AA65" s="72"/>
      <c r="AB65" s="72"/>
      <c r="AC65" s="72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26"/>
    </row>
    <row r="66" spans="3:62" s="1" customFormat="1" ht="12.75" customHeight="1" x14ac:dyDescent="0.15">
      <c r="C66" s="26"/>
      <c r="D66" s="26"/>
      <c r="E66" s="26"/>
      <c r="F66" s="26"/>
      <c r="G66" s="71"/>
      <c r="H66" s="71"/>
      <c r="I66" s="26"/>
      <c r="J66" s="71"/>
      <c r="K66" s="71"/>
      <c r="L66" s="71"/>
      <c r="M66" s="26"/>
      <c r="N66" s="71"/>
      <c r="O66" s="71"/>
      <c r="P66" s="26"/>
      <c r="Q66" s="26"/>
      <c r="R66" s="26"/>
      <c r="S66" s="26"/>
      <c r="T66" s="26"/>
      <c r="U66" s="72"/>
      <c r="V66" s="72"/>
      <c r="W66" s="72"/>
      <c r="X66" s="72"/>
      <c r="Y66" s="72"/>
      <c r="Z66" s="72"/>
      <c r="AA66" s="72"/>
      <c r="AB66" s="72"/>
      <c r="AC66" s="72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26"/>
    </row>
    <row r="67" spans="3:62" s="1" customFormat="1" ht="12.75" customHeight="1" x14ac:dyDescent="0.15">
      <c r="C67" s="26"/>
      <c r="D67" s="26"/>
      <c r="E67" s="26"/>
      <c r="F67" s="26"/>
      <c r="G67" s="71"/>
      <c r="H67" s="71"/>
      <c r="I67" s="26"/>
      <c r="J67" s="71"/>
      <c r="K67" s="71"/>
      <c r="L67" s="71"/>
      <c r="M67" s="26"/>
      <c r="N67" s="71"/>
      <c r="O67" s="71"/>
      <c r="P67" s="26"/>
      <c r="Q67" s="26"/>
      <c r="R67" s="26"/>
      <c r="S67" s="26"/>
      <c r="T67" s="26"/>
      <c r="U67" s="72"/>
      <c r="V67" s="72"/>
      <c r="W67" s="72"/>
      <c r="X67" s="72"/>
      <c r="Y67" s="72"/>
      <c r="Z67" s="72"/>
      <c r="AA67" s="72"/>
      <c r="AB67" s="72"/>
      <c r="AC67" s="72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26"/>
    </row>
    <row r="68" spans="3:62" s="1" customFormat="1" ht="12.75" customHeight="1" x14ac:dyDescent="0.15">
      <c r="C68" s="26"/>
      <c r="D68" s="26"/>
      <c r="E68" s="26"/>
      <c r="F68" s="26"/>
      <c r="G68" s="71"/>
      <c r="H68" s="71"/>
      <c r="I68" s="26"/>
      <c r="J68" s="71"/>
      <c r="K68" s="71"/>
      <c r="L68" s="71"/>
      <c r="M68" s="26"/>
      <c r="N68" s="71"/>
      <c r="O68" s="71"/>
      <c r="P68" s="26"/>
      <c r="Q68" s="26"/>
      <c r="R68" s="26"/>
      <c r="S68" s="26"/>
      <c r="T68" s="26"/>
      <c r="U68" s="72"/>
      <c r="V68" s="72"/>
      <c r="W68" s="72"/>
      <c r="X68" s="72"/>
      <c r="Y68" s="72"/>
      <c r="Z68" s="72"/>
      <c r="AA68" s="72"/>
      <c r="AB68" s="72"/>
      <c r="AC68" s="72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26"/>
    </row>
    <row r="69" spans="3:62" s="1" customFormat="1" ht="12.75" customHeight="1" x14ac:dyDescent="0.15">
      <c r="C69" s="26"/>
      <c r="D69" s="26"/>
      <c r="E69" s="26"/>
      <c r="F69" s="26"/>
      <c r="G69" s="71"/>
      <c r="H69" s="71"/>
      <c r="I69" s="26"/>
      <c r="J69" s="71"/>
      <c r="K69" s="71"/>
      <c r="L69" s="71"/>
      <c r="M69" s="26"/>
      <c r="N69" s="71"/>
      <c r="O69" s="71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3:62" s="1" customFormat="1" ht="12.75" customHeight="1" x14ac:dyDescent="0.15">
      <c r="C70" s="26"/>
      <c r="D70" s="26"/>
      <c r="E70" s="26"/>
      <c r="F70" s="26"/>
      <c r="G70" s="71"/>
      <c r="H70" s="71"/>
      <c r="I70" s="26"/>
      <c r="J70" s="71"/>
      <c r="K70" s="71"/>
      <c r="L70" s="71"/>
      <c r="M70" s="26"/>
      <c r="N70" s="71"/>
      <c r="O70" s="71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3:62" s="1" customFormat="1" ht="12.75" customHeight="1" x14ac:dyDescent="0.15">
      <c r="C71" s="26"/>
      <c r="D71" s="26"/>
      <c r="E71" s="26"/>
      <c r="F71" s="26"/>
      <c r="G71" s="71"/>
      <c r="H71" s="71"/>
      <c r="I71" s="26"/>
      <c r="J71" s="71"/>
      <c r="K71" s="71"/>
      <c r="L71" s="71"/>
      <c r="M71" s="26"/>
      <c r="N71" s="71"/>
      <c r="O71" s="71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3:62" s="1" customFormat="1" ht="12.75" customHeight="1" x14ac:dyDescent="0.15">
      <c r="C72" s="26"/>
      <c r="D72" s="26"/>
      <c r="E72" s="26"/>
      <c r="F72" s="26"/>
      <c r="G72" s="71"/>
      <c r="H72" s="71"/>
      <c r="I72" s="26"/>
      <c r="J72" s="71"/>
      <c r="K72" s="71"/>
      <c r="L72" s="71"/>
      <c r="M72" s="26"/>
      <c r="N72" s="71"/>
      <c r="O72" s="71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3:62" s="1" customFormat="1" ht="12.75" customHeight="1" x14ac:dyDescent="0.15">
      <c r="C73" s="26"/>
      <c r="D73" s="26"/>
      <c r="E73" s="26"/>
      <c r="F73" s="26"/>
      <c r="G73" s="71"/>
      <c r="H73" s="71"/>
      <c r="I73" s="26"/>
      <c r="J73" s="71"/>
      <c r="K73" s="71"/>
      <c r="L73" s="71"/>
      <c r="M73" s="26"/>
      <c r="N73" s="71"/>
      <c r="O73" s="71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3:62" s="1" customFormat="1" ht="12.75" customHeight="1" x14ac:dyDescent="0.15">
      <c r="C74" s="26"/>
      <c r="D74" s="26"/>
      <c r="E74" s="26"/>
      <c r="F74" s="26"/>
      <c r="G74" s="71"/>
      <c r="H74" s="71"/>
      <c r="I74" s="26"/>
      <c r="J74" s="71"/>
      <c r="K74" s="71"/>
      <c r="L74" s="71"/>
      <c r="M74" s="26"/>
      <c r="N74" s="71"/>
      <c r="O74" s="71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3:62" s="1" customFormat="1" ht="12.75" customHeight="1" x14ac:dyDescent="0.15">
      <c r="C75" s="26"/>
      <c r="D75" s="26"/>
      <c r="E75" s="26"/>
      <c r="F75" s="26"/>
      <c r="G75" s="71"/>
      <c r="H75" s="71"/>
      <c r="I75" s="26"/>
      <c r="J75" s="71"/>
      <c r="K75" s="71"/>
      <c r="L75" s="71"/>
      <c r="M75" s="26"/>
      <c r="N75" s="71"/>
      <c r="O75" s="71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3:62" s="1" customFormat="1" ht="12.75" customHeight="1" x14ac:dyDescent="0.15">
      <c r="C76" s="26"/>
      <c r="D76" s="26"/>
      <c r="E76" s="26"/>
      <c r="F76" s="26"/>
      <c r="G76" s="71"/>
      <c r="H76" s="71"/>
      <c r="I76" s="26"/>
      <c r="J76" s="71"/>
      <c r="K76" s="71"/>
      <c r="L76" s="71"/>
      <c r="M76" s="26"/>
      <c r="N76" s="71"/>
      <c r="O76" s="71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3:62" s="1" customFormat="1" ht="12.75" customHeight="1" x14ac:dyDescent="0.15">
      <c r="C77" s="26"/>
      <c r="D77" s="26"/>
      <c r="E77" s="26"/>
      <c r="F77" s="26"/>
      <c r="G77" s="71"/>
      <c r="H77" s="71"/>
      <c r="I77" s="26"/>
      <c r="J77" s="71"/>
      <c r="K77" s="71"/>
      <c r="L77" s="71"/>
      <c r="M77" s="26"/>
      <c r="N77" s="71"/>
      <c r="O77" s="71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3:62" s="1" customFormat="1" ht="12.75" customHeight="1" x14ac:dyDescent="0.15">
      <c r="C78" s="26"/>
      <c r="D78" s="26"/>
      <c r="E78" s="26"/>
      <c r="F78" s="26"/>
      <c r="G78" s="71"/>
      <c r="H78" s="71"/>
      <c r="I78" s="26"/>
      <c r="J78" s="71"/>
      <c r="K78" s="71"/>
      <c r="L78" s="71"/>
      <c r="M78" s="26"/>
      <c r="N78" s="71"/>
      <c r="O78" s="71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3:62" s="1" customFormat="1" ht="12.75" customHeight="1" x14ac:dyDescent="0.15">
      <c r="C79" s="26"/>
      <c r="D79" s="26"/>
      <c r="E79" s="26"/>
      <c r="F79" s="26"/>
      <c r="G79" s="71"/>
      <c r="H79" s="71"/>
      <c r="I79" s="26"/>
      <c r="J79" s="71"/>
      <c r="K79" s="71"/>
      <c r="L79" s="71"/>
      <c r="M79" s="26"/>
      <c r="N79" s="71"/>
      <c r="O79" s="71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3:62" s="1" customFormat="1" ht="12.75" customHeight="1" x14ac:dyDescent="0.15">
      <c r="C80" s="26"/>
      <c r="D80" s="26"/>
      <c r="E80" s="26"/>
      <c r="F80" s="26"/>
      <c r="G80" s="71"/>
      <c r="H80" s="71"/>
      <c r="I80" s="26"/>
      <c r="J80" s="71"/>
      <c r="K80" s="71"/>
      <c r="L80" s="71"/>
      <c r="M80" s="26"/>
      <c r="N80" s="71"/>
      <c r="O80" s="71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3:62" s="1" customFormat="1" ht="12.75" customHeight="1" x14ac:dyDescent="0.15">
      <c r="C81" s="26"/>
      <c r="D81" s="26"/>
      <c r="E81" s="26"/>
      <c r="F81" s="26"/>
      <c r="G81" s="71"/>
      <c r="H81" s="71"/>
      <c r="I81" s="26"/>
      <c r="J81" s="71"/>
      <c r="K81" s="71"/>
      <c r="L81" s="71"/>
      <c r="M81" s="26"/>
      <c r="N81" s="71"/>
      <c r="O81" s="71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3:62" s="1" customFormat="1" ht="12.75" customHeight="1" x14ac:dyDescent="0.15">
      <c r="C82" s="26"/>
      <c r="D82" s="26"/>
      <c r="E82" s="26"/>
      <c r="F82" s="26"/>
      <c r="G82" s="71"/>
      <c r="H82" s="71"/>
      <c r="I82" s="26"/>
      <c r="J82" s="71"/>
      <c r="K82" s="71"/>
      <c r="L82" s="71"/>
      <c r="M82" s="26"/>
      <c r="N82" s="71"/>
      <c r="O82" s="71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3:62" s="1" customFormat="1" ht="12.75" customHeight="1" x14ac:dyDescent="0.15">
      <c r="C83" s="26"/>
      <c r="D83" s="26"/>
      <c r="E83" s="26"/>
      <c r="F83" s="26"/>
      <c r="G83" s="71"/>
      <c r="H83" s="71"/>
      <c r="I83" s="26"/>
      <c r="J83" s="71"/>
      <c r="K83" s="71"/>
      <c r="L83" s="71"/>
      <c r="M83" s="26"/>
      <c r="N83" s="71"/>
      <c r="O83" s="71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3:62" s="1" customFormat="1" ht="12.75" customHeight="1" x14ac:dyDescent="0.15">
      <c r="C84" s="26"/>
      <c r="D84" s="26"/>
      <c r="E84" s="26"/>
      <c r="F84" s="26"/>
      <c r="G84" s="71"/>
      <c r="H84" s="71"/>
      <c r="I84" s="26"/>
      <c r="J84" s="71"/>
      <c r="K84" s="71"/>
      <c r="L84" s="71"/>
      <c r="M84" s="26"/>
      <c r="N84" s="71"/>
      <c r="O84" s="71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3:62" s="1" customFormat="1" ht="12.75" customHeight="1" x14ac:dyDescent="0.15">
      <c r="G85" s="7"/>
      <c r="H85" s="7"/>
      <c r="J85" s="7"/>
      <c r="K85" s="7"/>
      <c r="L85" s="7"/>
      <c r="N85" s="7"/>
      <c r="O85" s="7"/>
      <c r="U85" s="26"/>
      <c r="V85" s="26"/>
      <c r="W85" s="26"/>
      <c r="X85" s="26"/>
      <c r="Y85" s="26"/>
      <c r="Z85" s="26"/>
      <c r="AA85" s="26"/>
      <c r="AB85" s="26"/>
      <c r="AC85" s="26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3:62" s="1" customFormat="1" ht="12.75" customHeight="1" x14ac:dyDescent="0.15">
      <c r="G86" s="7"/>
      <c r="H86" s="7"/>
      <c r="J86" s="7"/>
      <c r="K86" s="7"/>
      <c r="L86" s="7"/>
      <c r="N86" s="7"/>
      <c r="O86" s="7"/>
      <c r="U86" s="26"/>
      <c r="V86" s="26"/>
      <c r="W86" s="26"/>
      <c r="X86" s="26"/>
      <c r="Y86" s="26"/>
      <c r="Z86" s="26"/>
      <c r="AA86" s="26"/>
      <c r="AB86" s="26"/>
      <c r="AC86" s="26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3:62" s="1" customFormat="1" ht="12.75" customHeight="1" x14ac:dyDescent="0.15">
      <c r="G87" s="7"/>
      <c r="H87" s="7"/>
      <c r="J87" s="7"/>
      <c r="K87" s="7"/>
      <c r="L87" s="7"/>
      <c r="N87" s="7"/>
      <c r="O87" s="7"/>
      <c r="U87" s="26"/>
      <c r="V87" s="26"/>
      <c r="W87" s="26"/>
      <c r="X87" s="26"/>
      <c r="Y87" s="26"/>
      <c r="Z87" s="26"/>
      <c r="AA87" s="26"/>
      <c r="AB87" s="26"/>
      <c r="AC87" s="26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3:62" s="1" customFormat="1" ht="12.75" customHeight="1" x14ac:dyDescent="0.15">
      <c r="G88" s="7"/>
      <c r="H88" s="7"/>
      <c r="J88" s="7"/>
      <c r="K88" s="7"/>
      <c r="L88" s="7"/>
      <c r="N88" s="7"/>
      <c r="O88" s="7"/>
      <c r="U88" s="26"/>
      <c r="V88" s="26"/>
      <c r="W88" s="26"/>
      <c r="X88" s="26"/>
      <c r="Y88" s="26"/>
      <c r="Z88" s="26"/>
      <c r="AA88" s="26"/>
      <c r="AB88" s="26"/>
      <c r="AC88" s="26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  <row r="89" spans="3:62" s="1" customFormat="1" ht="12.75" customHeight="1" x14ac:dyDescent="0.15">
      <c r="G89" s="7"/>
      <c r="H89" s="7"/>
      <c r="J89" s="7"/>
      <c r="K89" s="7"/>
      <c r="L89" s="7"/>
      <c r="N89" s="7"/>
      <c r="O89" s="7"/>
      <c r="U89" s="26"/>
      <c r="V89" s="26"/>
      <c r="W89" s="26"/>
      <c r="X89" s="26"/>
      <c r="Y89" s="26"/>
      <c r="Z89" s="26"/>
      <c r="AA89" s="26"/>
      <c r="AB89" s="26"/>
      <c r="AC89" s="26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</row>
    <row r="90" spans="3:62" s="1" customFormat="1" ht="12.75" customHeight="1" x14ac:dyDescent="0.15">
      <c r="G90" s="7"/>
      <c r="H90" s="7"/>
      <c r="J90" s="7"/>
      <c r="K90" s="7"/>
      <c r="L90" s="7"/>
      <c r="N90" s="7"/>
      <c r="O90" s="7"/>
      <c r="U90" s="26"/>
      <c r="V90" s="26"/>
      <c r="W90" s="26"/>
      <c r="X90" s="26"/>
      <c r="Y90" s="26"/>
      <c r="Z90" s="26"/>
      <c r="AA90" s="26"/>
      <c r="AB90" s="26"/>
      <c r="AC90" s="26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</row>
    <row r="91" spans="3:62" s="1" customFormat="1" ht="12.75" customHeight="1" x14ac:dyDescent="0.15">
      <c r="G91" s="7"/>
      <c r="H91" s="7"/>
      <c r="J91" s="7"/>
      <c r="K91" s="7"/>
      <c r="L91" s="7"/>
      <c r="N91" s="7"/>
      <c r="O91" s="7"/>
      <c r="U91" s="26"/>
      <c r="V91" s="26"/>
      <c r="W91" s="26"/>
      <c r="X91" s="26"/>
      <c r="Y91" s="26"/>
      <c r="Z91" s="26"/>
      <c r="AA91" s="26"/>
      <c r="AB91" s="26"/>
      <c r="AC91" s="26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</row>
    <row r="92" spans="3:62" s="1" customFormat="1" ht="12.75" customHeight="1" x14ac:dyDescent="0.15">
      <c r="G92" s="7"/>
      <c r="H92" s="7"/>
      <c r="J92" s="7"/>
      <c r="K92" s="7"/>
      <c r="L92" s="7"/>
      <c r="N92" s="7"/>
      <c r="O92" s="7"/>
      <c r="U92" s="26"/>
      <c r="V92" s="26"/>
      <c r="W92" s="26"/>
      <c r="X92" s="26"/>
      <c r="Y92" s="26"/>
      <c r="Z92" s="26"/>
      <c r="AA92" s="26"/>
      <c r="AB92" s="26"/>
      <c r="AC92" s="26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</row>
    <row r="93" spans="3:62" s="1" customFormat="1" ht="12.75" customHeight="1" x14ac:dyDescent="0.15">
      <c r="G93" s="7"/>
      <c r="H93" s="7"/>
      <c r="J93" s="7"/>
      <c r="K93" s="7"/>
      <c r="L93" s="7"/>
      <c r="N93" s="7"/>
      <c r="O93" s="7"/>
      <c r="U93" s="26"/>
      <c r="V93" s="26"/>
      <c r="W93" s="26"/>
      <c r="X93" s="26"/>
      <c r="Y93" s="26"/>
      <c r="Z93" s="26"/>
      <c r="AA93" s="26"/>
      <c r="AB93" s="26"/>
      <c r="AC93" s="26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</row>
    <row r="94" spans="3:62" s="1" customFormat="1" ht="12.75" customHeight="1" x14ac:dyDescent="0.15">
      <c r="G94" s="7"/>
      <c r="H94" s="7"/>
      <c r="J94" s="7"/>
      <c r="K94" s="7"/>
      <c r="L94" s="7"/>
      <c r="N94" s="7"/>
      <c r="O94" s="7"/>
      <c r="U94" s="26"/>
      <c r="V94" s="26"/>
      <c r="W94" s="26"/>
      <c r="X94" s="26"/>
      <c r="Y94" s="26"/>
      <c r="Z94" s="26"/>
      <c r="AA94" s="26"/>
      <c r="AB94" s="26"/>
      <c r="AC94" s="26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</row>
    <row r="95" spans="3:62" s="1" customFormat="1" ht="12.75" customHeight="1" x14ac:dyDescent="0.15">
      <c r="G95" s="7"/>
      <c r="H95" s="7"/>
      <c r="J95" s="7"/>
      <c r="K95" s="7"/>
      <c r="L95" s="7"/>
      <c r="N95" s="7"/>
      <c r="O95" s="7"/>
      <c r="U95" s="26"/>
      <c r="V95" s="26"/>
      <c r="W95" s="26"/>
      <c r="X95" s="26"/>
      <c r="Y95" s="26"/>
      <c r="Z95" s="26"/>
      <c r="AA95" s="26"/>
      <c r="AB95" s="26"/>
      <c r="AC95" s="26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</row>
    <row r="96" spans="3:62" s="1" customFormat="1" ht="12.75" customHeight="1" x14ac:dyDescent="0.15">
      <c r="G96" s="7"/>
      <c r="H96" s="7"/>
      <c r="J96" s="7"/>
      <c r="K96" s="7"/>
      <c r="L96" s="7"/>
      <c r="N96" s="7"/>
      <c r="O96" s="7"/>
      <c r="U96" s="26"/>
      <c r="V96" s="26"/>
      <c r="W96" s="26"/>
      <c r="X96" s="26"/>
      <c r="Y96" s="26"/>
      <c r="Z96" s="26"/>
      <c r="AA96" s="26"/>
      <c r="AB96" s="26"/>
      <c r="AC96" s="26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</row>
    <row r="97" spans="7:62" s="1" customFormat="1" ht="12.75" customHeight="1" x14ac:dyDescent="0.15">
      <c r="G97" s="7"/>
      <c r="H97" s="7"/>
      <c r="J97" s="7"/>
      <c r="K97" s="7"/>
      <c r="L97" s="7"/>
      <c r="N97" s="7"/>
      <c r="O97" s="7"/>
      <c r="U97" s="26"/>
      <c r="V97" s="26"/>
      <c r="W97" s="26"/>
      <c r="X97" s="26"/>
      <c r="Y97" s="26"/>
      <c r="Z97" s="26"/>
      <c r="AA97" s="26"/>
      <c r="AB97" s="26"/>
      <c r="AC97" s="26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</row>
    <row r="98" spans="7:62" s="1" customFormat="1" ht="12.75" customHeight="1" x14ac:dyDescent="0.15">
      <c r="G98" s="7"/>
      <c r="H98" s="7"/>
      <c r="J98" s="7"/>
      <c r="K98" s="7"/>
      <c r="L98" s="7"/>
      <c r="N98" s="7"/>
      <c r="O98" s="7"/>
      <c r="U98" s="26"/>
      <c r="V98" s="26"/>
      <c r="W98" s="26"/>
      <c r="X98" s="26"/>
      <c r="Y98" s="26"/>
      <c r="Z98" s="26"/>
      <c r="AA98" s="26"/>
      <c r="AB98" s="26"/>
      <c r="AC98" s="26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</row>
    <row r="99" spans="7:62" s="1" customFormat="1" ht="12.75" customHeight="1" x14ac:dyDescent="0.15">
      <c r="G99" s="7"/>
      <c r="H99" s="7"/>
      <c r="J99" s="7"/>
      <c r="K99" s="7"/>
      <c r="L99" s="7"/>
      <c r="N99" s="7"/>
      <c r="O99" s="7"/>
      <c r="U99" s="26"/>
      <c r="V99" s="26"/>
      <c r="W99" s="26"/>
      <c r="X99" s="26"/>
      <c r="Y99" s="26"/>
      <c r="Z99" s="26"/>
      <c r="AA99" s="26"/>
      <c r="AB99" s="26"/>
      <c r="AC99" s="26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</row>
    <row r="100" spans="7:62" s="1" customFormat="1" ht="12.75" customHeight="1" x14ac:dyDescent="0.15">
      <c r="G100" s="7"/>
      <c r="H100" s="7"/>
      <c r="J100" s="7"/>
      <c r="K100" s="7"/>
      <c r="L100" s="7"/>
      <c r="N100" s="7"/>
      <c r="O100" s="7"/>
      <c r="U100" s="26"/>
      <c r="V100" s="26"/>
      <c r="W100" s="26"/>
      <c r="X100" s="26"/>
      <c r="Y100" s="26"/>
      <c r="Z100" s="26"/>
      <c r="AA100" s="26"/>
      <c r="AB100" s="26"/>
      <c r="AC100" s="26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</row>
    <row r="101" spans="7:62" s="1" customFormat="1" ht="12.75" customHeight="1" x14ac:dyDescent="0.15">
      <c r="G101" s="7"/>
      <c r="H101" s="7"/>
      <c r="J101" s="7"/>
      <c r="K101" s="7"/>
      <c r="L101" s="7"/>
      <c r="N101" s="7"/>
      <c r="O101" s="7"/>
      <c r="U101" s="26"/>
      <c r="V101" s="26"/>
      <c r="W101" s="26"/>
      <c r="X101" s="26"/>
      <c r="Y101" s="26"/>
      <c r="Z101" s="26"/>
      <c r="AA101" s="26"/>
      <c r="AB101" s="26"/>
      <c r="AC101" s="26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</row>
    <row r="102" spans="7:62" s="1" customFormat="1" ht="12.75" customHeight="1" x14ac:dyDescent="0.15">
      <c r="G102" s="7"/>
      <c r="H102" s="7"/>
      <c r="J102" s="7"/>
      <c r="K102" s="7"/>
      <c r="L102" s="7"/>
      <c r="N102" s="7"/>
      <c r="O102" s="7"/>
      <c r="U102" s="26"/>
      <c r="V102" s="26"/>
      <c r="W102" s="26"/>
      <c r="X102" s="26"/>
      <c r="Y102" s="26"/>
      <c r="Z102" s="26"/>
      <c r="AA102" s="26"/>
      <c r="AB102" s="26"/>
      <c r="AC102" s="26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</row>
    <row r="103" spans="7:62" s="1" customFormat="1" ht="12.75" customHeight="1" x14ac:dyDescent="0.15">
      <c r="G103" s="7"/>
      <c r="H103" s="7"/>
      <c r="J103" s="7"/>
      <c r="K103" s="7"/>
      <c r="L103" s="7"/>
      <c r="N103" s="7"/>
      <c r="O103" s="7"/>
      <c r="U103" s="26"/>
      <c r="V103" s="26"/>
      <c r="W103" s="26"/>
      <c r="X103" s="26"/>
      <c r="Y103" s="26"/>
      <c r="Z103" s="26"/>
      <c r="AA103" s="26"/>
      <c r="AB103" s="26"/>
      <c r="AC103" s="26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</row>
    <row r="104" spans="7:62" s="1" customFormat="1" ht="12.75" customHeight="1" x14ac:dyDescent="0.15">
      <c r="G104" s="7"/>
      <c r="H104" s="7"/>
      <c r="J104" s="7"/>
      <c r="K104" s="7"/>
      <c r="L104" s="7"/>
      <c r="N104" s="7"/>
      <c r="O104" s="7"/>
      <c r="U104" s="26"/>
      <c r="V104" s="26"/>
      <c r="W104" s="26"/>
      <c r="X104" s="26"/>
      <c r="Y104" s="26"/>
      <c r="Z104" s="26"/>
      <c r="AA104" s="26"/>
      <c r="AB104" s="26"/>
      <c r="AC104" s="26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</row>
    <row r="105" spans="7:62" s="1" customFormat="1" ht="12.75" customHeight="1" x14ac:dyDescent="0.15">
      <c r="G105" s="7"/>
      <c r="H105" s="7"/>
      <c r="J105" s="7"/>
      <c r="K105" s="7"/>
      <c r="L105" s="7"/>
      <c r="N105" s="7"/>
      <c r="O105" s="7"/>
      <c r="U105" s="26"/>
      <c r="V105" s="26"/>
      <c r="W105" s="26"/>
      <c r="X105" s="26"/>
      <c r="Y105" s="26"/>
      <c r="Z105" s="26"/>
      <c r="AA105" s="26"/>
      <c r="AB105" s="26"/>
      <c r="AC105" s="26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</row>
    <row r="106" spans="7:62" s="1" customFormat="1" ht="12.75" customHeight="1" x14ac:dyDescent="0.15">
      <c r="G106" s="7"/>
      <c r="H106" s="7"/>
      <c r="J106" s="7"/>
      <c r="K106" s="7"/>
      <c r="L106" s="7"/>
      <c r="N106" s="7"/>
      <c r="O106" s="7"/>
      <c r="U106" s="26"/>
      <c r="V106" s="26"/>
      <c r="W106" s="26"/>
      <c r="X106" s="26"/>
      <c r="Y106" s="26"/>
      <c r="Z106" s="26"/>
      <c r="AA106" s="26"/>
      <c r="AB106" s="26"/>
      <c r="AC106" s="26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</row>
    <row r="107" spans="7:62" s="1" customFormat="1" ht="12.75" customHeight="1" x14ac:dyDescent="0.15">
      <c r="G107" s="7"/>
      <c r="H107" s="7"/>
      <c r="J107" s="7"/>
      <c r="K107" s="7"/>
      <c r="L107" s="7"/>
      <c r="N107" s="7"/>
      <c r="O107" s="7"/>
      <c r="U107" s="26"/>
      <c r="V107" s="26"/>
      <c r="W107" s="26"/>
      <c r="X107" s="26"/>
      <c r="Y107" s="26"/>
      <c r="Z107" s="26"/>
      <c r="AA107" s="26"/>
      <c r="AB107" s="26"/>
      <c r="AC107" s="26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</row>
    <row r="108" spans="7:62" s="1" customFormat="1" ht="12.75" customHeight="1" x14ac:dyDescent="0.15">
      <c r="G108" s="7"/>
      <c r="H108" s="7"/>
      <c r="J108" s="7"/>
      <c r="K108" s="7"/>
      <c r="L108" s="7"/>
      <c r="N108" s="7"/>
      <c r="O108" s="7"/>
      <c r="U108" s="26"/>
      <c r="V108" s="26"/>
      <c r="W108" s="26"/>
      <c r="X108" s="26"/>
      <c r="Y108" s="26"/>
      <c r="Z108" s="26"/>
      <c r="AA108" s="26"/>
      <c r="AB108" s="26"/>
      <c r="AC108" s="26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</row>
    <row r="109" spans="7:62" s="1" customFormat="1" ht="12.75" customHeight="1" x14ac:dyDescent="0.15">
      <c r="G109" s="7"/>
      <c r="H109" s="7"/>
      <c r="J109" s="7"/>
      <c r="K109" s="7"/>
      <c r="L109" s="7"/>
      <c r="N109" s="7"/>
      <c r="O109" s="7"/>
      <c r="U109" s="26"/>
      <c r="V109" s="26"/>
      <c r="W109" s="26"/>
      <c r="X109" s="26"/>
      <c r="Y109" s="26"/>
      <c r="Z109" s="26"/>
      <c r="AA109" s="26"/>
      <c r="AB109" s="26"/>
      <c r="AC109" s="26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</row>
    <row r="110" spans="7:62" s="1" customFormat="1" ht="12.75" customHeight="1" x14ac:dyDescent="0.15">
      <c r="G110" s="7"/>
      <c r="H110" s="7"/>
      <c r="J110" s="7"/>
      <c r="K110" s="7"/>
      <c r="L110" s="7"/>
      <c r="N110" s="7"/>
      <c r="O110" s="7"/>
      <c r="U110" s="26"/>
      <c r="V110" s="26"/>
      <c r="W110" s="26"/>
      <c r="X110" s="26"/>
      <c r="Y110" s="26"/>
      <c r="Z110" s="26"/>
      <c r="AA110" s="26"/>
      <c r="AB110" s="26"/>
      <c r="AC110" s="26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</row>
    <row r="111" spans="7:62" s="1" customFormat="1" ht="12.75" customHeight="1" x14ac:dyDescent="0.15">
      <c r="G111" s="7"/>
      <c r="H111" s="7"/>
      <c r="J111" s="7"/>
      <c r="K111" s="7"/>
      <c r="L111" s="7"/>
      <c r="N111" s="7"/>
      <c r="O111" s="7"/>
      <c r="U111" s="26"/>
      <c r="V111" s="26"/>
      <c r="W111" s="26"/>
      <c r="X111" s="26"/>
      <c r="Y111" s="26"/>
      <c r="Z111" s="26"/>
      <c r="AA111" s="26"/>
      <c r="AB111" s="26"/>
      <c r="AC111" s="26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</row>
    <row r="112" spans="7:62" s="1" customFormat="1" ht="12.75" customHeight="1" x14ac:dyDescent="0.15">
      <c r="G112" s="7"/>
      <c r="H112" s="7"/>
      <c r="J112" s="7"/>
      <c r="K112" s="7"/>
      <c r="L112" s="7"/>
      <c r="N112" s="7"/>
      <c r="O112" s="7"/>
      <c r="U112" s="26"/>
      <c r="V112" s="26"/>
      <c r="W112" s="26"/>
      <c r="X112" s="26"/>
      <c r="Y112" s="26"/>
      <c r="Z112" s="26"/>
      <c r="AA112" s="26"/>
      <c r="AB112" s="26"/>
      <c r="AC112" s="26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</row>
    <row r="113" spans="7:62" s="1" customFormat="1" ht="12.75" customHeight="1" x14ac:dyDescent="0.15">
      <c r="G113" s="7"/>
      <c r="H113" s="7"/>
      <c r="J113" s="7"/>
      <c r="K113" s="7"/>
      <c r="L113" s="7"/>
      <c r="N113" s="7"/>
      <c r="O113" s="7"/>
      <c r="U113" s="26"/>
      <c r="V113" s="26"/>
      <c r="W113" s="26"/>
      <c r="X113" s="26"/>
      <c r="Y113" s="26"/>
      <c r="Z113" s="26"/>
      <c r="AA113" s="26"/>
      <c r="AB113" s="26"/>
      <c r="AC113" s="26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</row>
    <row r="114" spans="7:62" s="1" customFormat="1" ht="12.75" customHeight="1" x14ac:dyDescent="0.15">
      <c r="G114" s="7"/>
      <c r="H114" s="7"/>
      <c r="J114" s="7"/>
      <c r="K114" s="7"/>
      <c r="L114" s="7"/>
      <c r="N114" s="7"/>
      <c r="O114" s="7"/>
      <c r="U114" s="26"/>
      <c r="V114" s="26"/>
      <c r="W114" s="26"/>
      <c r="X114" s="26"/>
      <c r="Y114" s="26"/>
      <c r="Z114" s="26"/>
      <c r="AA114" s="26"/>
      <c r="AB114" s="26"/>
      <c r="AC114" s="26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</row>
    <row r="115" spans="7:62" s="1" customFormat="1" ht="12.75" customHeight="1" x14ac:dyDescent="0.15">
      <c r="G115" s="7"/>
      <c r="H115" s="7"/>
      <c r="J115" s="7"/>
      <c r="K115" s="7"/>
      <c r="L115" s="7"/>
      <c r="N115" s="7"/>
      <c r="O115" s="7"/>
      <c r="U115" s="26"/>
      <c r="V115" s="26"/>
      <c r="W115" s="26"/>
      <c r="X115" s="26"/>
      <c r="Y115" s="26"/>
      <c r="Z115" s="26"/>
      <c r="AA115" s="26"/>
      <c r="AB115" s="26"/>
      <c r="AC115" s="26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</row>
    <row r="116" spans="7:62" s="1" customFormat="1" ht="12.75" customHeight="1" x14ac:dyDescent="0.15">
      <c r="G116" s="7"/>
      <c r="H116" s="7"/>
      <c r="J116" s="7"/>
      <c r="K116" s="7"/>
      <c r="L116" s="7"/>
      <c r="N116" s="7"/>
      <c r="O116" s="7"/>
      <c r="U116" s="26"/>
      <c r="V116" s="26"/>
      <c r="W116" s="26"/>
      <c r="X116" s="26"/>
      <c r="Y116" s="26"/>
      <c r="Z116" s="26"/>
      <c r="AA116" s="26"/>
      <c r="AB116" s="26"/>
      <c r="AC116" s="26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</row>
    <row r="117" spans="7:62" s="1" customFormat="1" ht="12.75" customHeight="1" x14ac:dyDescent="0.15">
      <c r="G117" s="7"/>
      <c r="H117" s="7"/>
      <c r="J117" s="7"/>
      <c r="K117" s="7"/>
      <c r="L117" s="7"/>
      <c r="N117" s="7"/>
      <c r="O117" s="7"/>
      <c r="U117" s="26"/>
      <c r="V117" s="26"/>
      <c r="W117" s="26"/>
      <c r="X117" s="26"/>
      <c r="Y117" s="26"/>
      <c r="Z117" s="26"/>
      <c r="AA117" s="26"/>
      <c r="AB117" s="26"/>
      <c r="AC117" s="26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</row>
    <row r="118" spans="7:62" s="1" customFormat="1" ht="12.75" customHeight="1" x14ac:dyDescent="0.15">
      <c r="G118" s="7"/>
      <c r="H118" s="7"/>
      <c r="J118" s="7"/>
      <c r="K118" s="7"/>
      <c r="L118" s="7"/>
      <c r="N118" s="7"/>
      <c r="O118" s="7"/>
      <c r="U118" s="26"/>
      <c r="V118" s="26"/>
      <c r="W118" s="26"/>
      <c r="X118" s="26"/>
      <c r="Y118" s="26"/>
      <c r="Z118" s="26"/>
      <c r="AA118" s="26"/>
      <c r="AB118" s="26"/>
      <c r="AC118" s="26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</row>
    <row r="119" spans="7:62" s="1" customFormat="1" ht="12.75" customHeight="1" x14ac:dyDescent="0.15">
      <c r="G119" s="7"/>
      <c r="H119" s="7"/>
      <c r="J119" s="7"/>
      <c r="K119" s="7"/>
      <c r="L119" s="7"/>
      <c r="N119" s="7"/>
      <c r="O119" s="7"/>
      <c r="U119" s="26"/>
      <c r="V119" s="26"/>
      <c r="W119" s="26"/>
      <c r="X119" s="26"/>
      <c r="Y119" s="26"/>
      <c r="Z119" s="26"/>
      <c r="AA119" s="26"/>
      <c r="AB119" s="26"/>
      <c r="AC119" s="26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</row>
    <row r="120" spans="7:62" s="1" customFormat="1" ht="12.75" customHeight="1" x14ac:dyDescent="0.15">
      <c r="G120" s="7"/>
      <c r="H120" s="7"/>
      <c r="J120" s="7"/>
      <c r="K120" s="7"/>
      <c r="L120" s="7"/>
      <c r="N120" s="7"/>
      <c r="O120" s="7"/>
      <c r="U120" s="26"/>
      <c r="V120" s="26"/>
      <c r="W120" s="26"/>
      <c r="X120" s="26"/>
      <c r="Y120" s="26"/>
      <c r="Z120" s="26"/>
      <c r="AA120" s="26"/>
      <c r="AB120" s="26"/>
      <c r="AC120" s="26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</row>
    <row r="121" spans="7:62" s="1" customFormat="1" ht="12.75" customHeight="1" x14ac:dyDescent="0.15">
      <c r="G121" s="7"/>
      <c r="H121" s="7"/>
      <c r="J121" s="7"/>
      <c r="K121" s="7"/>
      <c r="L121" s="7"/>
      <c r="N121" s="7"/>
      <c r="O121" s="7"/>
      <c r="U121" s="26"/>
      <c r="V121" s="26"/>
      <c r="W121" s="26"/>
      <c r="X121" s="26"/>
      <c r="Y121" s="26"/>
      <c r="Z121" s="26"/>
      <c r="AA121" s="26"/>
      <c r="AB121" s="26"/>
      <c r="AC121" s="26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</row>
    <row r="122" spans="7:62" s="1" customFormat="1" ht="12.75" customHeight="1" x14ac:dyDescent="0.15">
      <c r="G122" s="7"/>
      <c r="H122" s="7"/>
      <c r="J122" s="7"/>
      <c r="K122" s="7"/>
      <c r="L122" s="7"/>
      <c r="N122" s="7"/>
      <c r="O122" s="7"/>
      <c r="U122" s="26"/>
      <c r="V122" s="26"/>
      <c r="W122" s="26"/>
      <c r="X122" s="26"/>
      <c r="Y122" s="26"/>
      <c r="Z122" s="26"/>
      <c r="AA122" s="26"/>
      <c r="AB122" s="26"/>
      <c r="AC122" s="26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</row>
    <row r="123" spans="7:62" s="1" customFormat="1" ht="12.75" customHeight="1" x14ac:dyDescent="0.15">
      <c r="G123" s="7"/>
      <c r="H123" s="7"/>
      <c r="J123" s="7"/>
      <c r="K123" s="7"/>
      <c r="L123" s="7"/>
      <c r="N123" s="7"/>
      <c r="O123" s="7"/>
      <c r="U123" s="26"/>
      <c r="V123" s="26"/>
      <c r="W123" s="26"/>
      <c r="X123" s="26"/>
      <c r="Y123" s="26"/>
      <c r="Z123" s="26"/>
      <c r="AA123" s="26"/>
      <c r="AB123" s="26"/>
      <c r="AC123" s="26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</row>
    <row r="124" spans="7:62" s="1" customFormat="1" ht="12.75" customHeight="1" x14ac:dyDescent="0.15">
      <c r="G124" s="7"/>
      <c r="H124" s="7"/>
      <c r="J124" s="7"/>
      <c r="K124" s="7"/>
      <c r="L124" s="7"/>
      <c r="N124" s="7"/>
      <c r="O124" s="7"/>
      <c r="U124" s="26"/>
      <c r="V124" s="26"/>
      <c r="W124" s="26"/>
      <c r="X124" s="26"/>
      <c r="Y124" s="26"/>
      <c r="Z124" s="26"/>
      <c r="AA124" s="26"/>
      <c r="AB124" s="26"/>
      <c r="AC124" s="26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</row>
    <row r="125" spans="7:62" s="1" customFormat="1" ht="12.75" customHeight="1" x14ac:dyDescent="0.15">
      <c r="G125" s="7"/>
      <c r="H125" s="7"/>
      <c r="J125" s="7"/>
      <c r="K125" s="7"/>
      <c r="L125" s="7"/>
      <c r="N125" s="7"/>
      <c r="O125" s="7"/>
      <c r="U125" s="26"/>
      <c r="V125" s="26"/>
      <c r="W125" s="26"/>
      <c r="X125" s="26"/>
      <c r="Y125" s="26"/>
      <c r="Z125" s="26"/>
      <c r="AA125" s="26"/>
      <c r="AB125" s="26"/>
      <c r="AC125" s="26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</row>
    <row r="126" spans="7:62" s="1" customFormat="1" ht="12.75" customHeight="1" x14ac:dyDescent="0.15">
      <c r="G126" s="7"/>
      <c r="H126" s="7"/>
      <c r="J126" s="7"/>
      <c r="K126" s="7"/>
      <c r="L126" s="7"/>
      <c r="N126" s="7"/>
      <c r="O126" s="7"/>
      <c r="U126" s="26"/>
      <c r="V126" s="26"/>
      <c r="W126" s="26"/>
      <c r="X126" s="26"/>
      <c r="Y126" s="26"/>
      <c r="Z126" s="26"/>
      <c r="AA126" s="26"/>
      <c r="AB126" s="26"/>
      <c r="AC126" s="26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</row>
    <row r="127" spans="7:62" s="1" customFormat="1" ht="12.75" customHeight="1" x14ac:dyDescent="0.15">
      <c r="G127" s="7"/>
      <c r="H127" s="7"/>
      <c r="J127" s="7"/>
      <c r="K127" s="7"/>
      <c r="L127" s="7"/>
      <c r="N127" s="7"/>
      <c r="O127" s="7"/>
      <c r="U127" s="26"/>
      <c r="V127" s="26"/>
      <c r="W127" s="26"/>
      <c r="X127" s="26"/>
      <c r="Y127" s="26"/>
      <c r="Z127" s="26"/>
      <c r="AA127" s="26"/>
      <c r="AB127" s="26"/>
      <c r="AC127" s="26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</row>
    <row r="128" spans="7:62" s="1" customFormat="1" ht="12.75" customHeight="1" x14ac:dyDescent="0.15">
      <c r="G128" s="7"/>
      <c r="H128" s="7"/>
      <c r="J128" s="7"/>
      <c r="K128" s="7"/>
      <c r="L128" s="7"/>
      <c r="N128" s="7"/>
      <c r="O128" s="7"/>
      <c r="U128" s="26"/>
      <c r="V128" s="26"/>
      <c r="W128" s="26"/>
      <c r="X128" s="26"/>
      <c r="Y128" s="26"/>
      <c r="Z128" s="26"/>
      <c r="AA128" s="26"/>
      <c r="AB128" s="26"/>
      <c r="AC128" s="26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</row>
    <row r="129" spans="7:62" s="1" customFormat="1" ht="12.75" customHeight="1" x14ac:dyDescent="0.15">
      <c r="G129" s="7"/>
      <c r="H129" s="7"/>
      <c r="J129" s="7"/>
      <c r="K129" s="7"/>
      <c r="L129" s="7"/>
      <c r="N129" s="7"/>
      <c r="O129" s="7"/>
      <c r="U129" s="26"/>
      <c r="V129" s="26"/>
      <c r="W129" s="26"/>
      <c r="X129" s="26"/>
      <c r="Y129" s="26"/>
      <c r="Z129" s="26"/>
      <c r="AA129" s="26"/>
      <c r="AB129" s="26"/>
      <c r="AC129" s="26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</row>
    <row r="130" spans="7:62" s="1" customFormat="1" ht="12.75" customHeight="1" x14ac:dyDescent="0.15">
      <c r="G130" s="7"/>
      <c r="H130" s="7"/>
      <c r="J130" s="7"/>
      <c r="K130" s="7"/>
      <c r="L130" s="7"/>
      <c r="N130" s="7"/>
      <c r="O130" s="7"/>
      <c r="U130" s="26"/>
      <c r="V130" s="26"/>
      <c r="W130" s="26"/>
      <c r="X130" s="26"/>
      <c r="Y130" s="26"/>
      <c r="Z130" s="26"/>
      <c r="AA130" s="26"/>
      <c r="AB130" s="26"/>
      <c r="AC130" s="26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</row>
    <row r="131" spans="7:62" s="1" customFormat="1" ht="12.75" customHeight="1" x14ac:dyDescent="0.15">
      <c r="G131" s="7"/>
      <c r="H131" s="7"/>
      <c r="J131" s="7"/>
      <c r="K131" s="7"/>
      <c r="L131" s="7"/>
      <c r="N131" s="7"/>
      <c r="O131" s="7"/>
      <c r="U131" s="26"/>
      <c r="V131" s="26"/>
      <c r="W131" s="26"/>
      <c r="X131" s="26"/>
      <c r="Y131" s="26"/>
      <c r="Z131" s="26"/>
      <c r="AA131" s="26"/>
      <c r="AB131" s="26"/>
      <c r="AC131" s="26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</row>
    <row r="132" spans="7:62" s="1" customFormat="1" ht="12.75" customHeight="1" x14ac:dyDescent="0.15">
      <c r="G132" s="7"/>
      <c r="H132" s="7"/>
      <c r="J132" s="7"/>
      <c r="K132" s="7"/>
      <c r="L132" s="7"/>
      <c r="N132" s="7"/>
      <c r="O132" s="7"/>
      <c r="U132" s="26"/>
      <c r="V132" s="26"/>
      <c r="W132" s="26"/>
      <c r="X132" s="26"/>
      <c r="Y132" s="26"/>
      <c r="Z132" s="26"/>
      <c r="AA132" s="26"/>
      <c r="AB132" s="26"/>
      <c r="AC132" s="26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</row>
    <row r="133" spans="7:62" s="1" customFormat="1" ht="12.75" customHeight="1" x14ac:dyDescent="0.15">
      <c r="G133" s="7"/>
      <c r="H133" s="7"/>
      <c r="J133" s="7"/>
      <c r="K133" s="7"/>
      <c r="L133" s="7"/>
      <c r="N133" s="7"/>
      <c r="O133" s="7"/>
      <c r="U133" s="26"/>
      <c r="V133" s="26"/>
      <c r="W133" s="26"/>
      <c r="X133" s="26"/>
      <c r="Y133" s="26"/>
      <c r="Z133" s="26"/>
      <c r="AA133" s="26"/>
      <c r="AB133" s="26"/>
      <c r="AC133" s="26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</row>
    <row r="134" spans="7:62" s="1" customFormat="1" ht="12.75" customHeight="1" x14ac:dyDescent="0.15">
      <c r="G134" s="7"/>
      <c r="H134" s="7"/>
      <c r="J134" s="7"/>
      <c r="K134" s="7"/>
      <c r="L134" s="7"/>
      <c r="N134" s="7"/>
      <c r="O134" s="7"/>
      <c r="U134" s="26"/>
      <c r="V134" s="26"/>
      <c r="W134" s="26"/>
      <c r="X134" s="26"/>
      <c r="Y134" s="26"/>
      <c r="Z134" s="26"/>
      <c r="AA134" s="26"/>
      <c r="AB134" s="26"/>
      <c r="AC134" s="26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</row>
    <row r="135" spans="7:62" s="1" customFormat="1" ht="12.75" customHeight="1" x14ac:dyDescent="0.15">
      <c r="G135" s="7"/>
      <c r="H135" s="7"/>
      <c r="J135" s="7"/>
      <c r="K135" s="7"/>
      <c r="L135" s="7"/>
      <c r="N135" s="7"/>
      <c r="O135" s="7"/>
      <c r="U135" s="26"/>
      <c r="V135" s="26"/>
      <c r="W135" s="26"/>
      <c r="X135" s="26"/>
      <c r="Y135" s="26"/>
      <c r="Z135" s="26"/>
      <c r="AA135" s="26"/>
      <c r="AB135" s="26"/>
      <c r="AC135" s="26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</row>
    <row r="136" spans="7:62" s="1" customFormat="1" ht="12.75" customHeight="1" x14ac:dyDescent="0.15">
      <c r="G136" s="7"/>
      <c r="H136" s="7"/>
      <c r="J136" s="7"/>
      <c r="K136" s="7"/>
      <c r="L136" s="7"/>
      <c r="N136" s="7"/>
      <c r="O136" s="7"/>
      <c r="U136" s="26"/>
      <c r="V136" s="26"/>
      <c r="W136" s="26"/>
      <c r="X136" s="26"/>
      <c r="Y136" s="26"/>
      <c r="Z136" s="26"/>
      <c r="AA136" s="26"/>
      <c r="AB136" s="26"/>
      <c r="AC136" s="26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</row>
    <row r="137" spans="7:62" s="1" customFormat="1" ht="12.75" customHeight="1" x14ac:dyDescent="0.15">
      <c r="G137" s="7"/>
      <c r="H137" s="7"/>
      <c r="J137" s="7"/>
      <c r="K137" s="7"/>
      <c r="L137" s="7"/>
      <c r="N137" s="7"/>
      <c r="O137" s="7"/>
      <c r="U137" s="26"/>
      <c r="V137" s="26"/>
      <c r="W137" s="26"/>
      <c r="X137" s="26"/>
      <c r="Y137" s="26"/>
      <c r="Z137" s="26"/>
      <c r="AA137" s="26"/>
      <c r="AB137" s="26"/>
      <c r="AC137" s="26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</row>
    <row r="138" spans="7:62" s="1" customFormat="1" ht="12.75" customHeight="1" x14ac:dyDescent="0.15">
      <c r="G138" s="7"/>
      <c r="H138" s="7"/>
      <c r="J138" s="7"/>
      <c r="K138" s="7"/>
      <c r="L138" s="7"/>
      <c r="N138" s="7"/>
      <c r="O138" s="7"/>
      <c r="U138" s="26"/>
      <c r="V138" s="26"/>
      <c r="W138" s="26"/>
      <c r="X138" s="26"/>
      <c r="Y138" s="26"/>
      <c r="Z138" s="26"/>
      <c r="AA138" s="26"/>
      <c r="AB138" s="26"/>
      <c r="AC138" s="26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</row>
    <row r="139" spans="7:62" s="1" customFormat="1" ht="12.75" customHeight="1" x14ac:dyDescent="0.15">
      <c r="G139" s="7"/>
      <c r="H139" s="7"/>
      <c r="J139" s="7"/>
      <c r="K139" s="7"/>
      <c r="L139" s="7"/>
      <c r="N139" s="7"/>
      <c r="O139" s="7"/>
      <c r="U139" s="26"/>
      <c r="V139" s="26"/>
      <c r="W139" s="26"/>
      <c r="X139" s="26"/>
      <c r="Y139" s="26"/>
      <c r="Z139" s="26"/>
      <c r="AA139" s="26"/>
      <c r="AB139" s="26"/>
      <c r="AC139" s="26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</row>
    <row r="140" spans="7:62" s="1" customFormat="1" ht="12.75" customHeight="1" x14ac:dyDescent="0.15">
      <c r="G140" s="7"/>
      <c r="H140" s="7"/>
      <c r="J140" s="7"/>
      <c r="K140" s="7"/>
      <c r="L140" s="7"/>
      <c r="N140" s="7"/>
      <c r="O140" s="7"/>
      <c r="U140" s="26"/>
      <c r="V140" s="26"/>
      <c r="W140" s="26"/>
      <c r="X140" s="26"/>
      <c r="Y140" s="26"/>
      <c r="Z140" s="26"/>
      <c r="AA140" s="26"/>
      <c r="AB140" s="26"/>
      <c r="AC140" s="26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</row>
    <row r="141" spans="7:62" s="1" customFormat="1" ht="12.75" customHeight="1" x14ac:dyDescent="0.15">
      <c r="G141" s="7"/>
      <c r="H141" s="7"/>
      <c r="J141" s="7"/>
      <c r="K141" s="7"/>
      <c r="L141" s="7"/>
      <c r="N141" s="7"/>
      <c r="O141" s="7"/>
      <c r="U141" s="26"/>
      <c r="V141" s="26"/>
      <c r="W141" s="26"/>
      <c r="X141" s="26"/>
      <c r="Y141" s="26"/>
      <c r="Z141" s="26"/>
      <c r="AA141" s="26"/>
      <c r="AB141" s="26"/>
      <c r="AC141" s="26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</row>
    <row r="142" spans="7:62" s="1" customFormat="1" ht="12.75" customHeight="1" x14ac:dyDescent="0.15">
      <c r="G142" s="7"/>
      <c r="H142" s="7"/>
      <c r="J142" s="7"/>
      <c r="K142" s="7"/>
      <c r="L142" s="7"/>
      <c r="N142" s="7"/>
      <c r="O142" s="7"/>
      <c r="U142" s="26"/>
      <c r="V142" s="26"/>
      <c r="W142" s="26"/>
      <c r="X142" s="26"/>
      <c r="Y142" s="26"/>
      <c r="Z142" s="26"/>
      <c r="AA142" s="26"/>
      <c r="AB142" s="26"/>
      <c r="AC142" s="26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</row>
    <row r="143" spans="7:62" s="1" customFormat="1" ht="12.75" customHeight="1" x14ac:dyDescent="0.15">
      <c r="G143" s="7"/>
      <c r="H143" s="7"/>
      <c r="J143" s="7"/>
      <c r="K143" s="7"/>
      <c r="L143" s="7"/>
      <c r="N143" s="7"/>
      <c r="O143" s="7"/>
      <c r="U143" s="26"/>
      <c r="V143" s="26"/>
      <c r="W143" s="26"/>
      <c r="X143" s="26"/>
      <c r="Y143" s="26"/>
      <c r="Z143" s="26"/>
      <c r="AA143" s="26"/>
      <c r="AB143" s="26"/>
      <c r="AC143" s="26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</row>
    <row r="144" spans="7:62" s="1" customFormat="1" ht="12.75" customHeight="1" x14ac:dyDescent="0.15">
      <c r="G144" s="7"/>
      <c r="H144" s="7"/>
      <c r="J144" s="7"/>
      <c r="K144" s="7"/>
      <c r="L144" s="7"/>
      <c r="N144" s="7"/>
      <c r="O144" s="7"/>
      <c r="U144" s="26"/>
      <c r="V144" s="26"/>
      <c r="W144" s="26"/>
      <c r="X144" s="26"/>
      <c r="Y144" s="26"/>
      <c r="Z144" s="26"/>
      <c r="AA144" s="26"/>
      <c r="AB144" s="26"/>
      <c r="AC144" s="26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</row>
    <row r="145" spans="7:62" s="1" customFormat="1" ht="12.75" customHeight="1" x14ac:dyDescent="0.15">
      <c r="G145" s="7"/>
      <c r="H145" s="7"/>
      <c r="J145" s="7"/>
      <c r="K145" s="7"/>
      <c r="L145" s="7"/>
      <c r="N145" s="7"/>
      <c r="O145" s="7"/>
      <c r="U145" s="26"/>
      <c r="V145" s="26"/>
      <c r="W145" s="26"/>
      <c r="X145" s="26"/>
      <c r="Y145" s="26"/>
      <c r="Z145" s="26"/>
      <c r="AA145" s="26"/>
      <c r="AB145" s="26"/>
      <c r="AC145" s="26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</row>
    <row r="146" spans="7:62" s="1" customFormat="1" ht="12.75" customHeight="1" x14ac:dyDescent="0.15">
      <c r="G146" s="7"/>
      <c r="H146" s="7"/>
      <c r="J146" s="7"/>
      <c r="K146" s="7"/>
      <c r="L146" s="7"/>
      <c r="N146" s="7"/>
      <c r="O146" s="7"/>
      <c r="U146" s="26"/>
      <c r="V146" s="26"/>
      <c r="W146" s="26"/>
      <c r="X146" s="26"/>
      <c r="Y146" s="26"/>
      <c r="Z146" s="26"/>
      <c r="AA146" s="26"/>
      <c r="AB146" s="26"/>
      <c r="AC146" s="26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</row>
    <row r="147" spans="7:62" s="1" customFormat="1" ht="12.75" customHeight="1" x14ac:dyDescent="0.15">
      <c r="G147" s="7"/>
      <c r="H147" s="7"/>
      <c r="J147" s="7"/>
      <c r="K147" s="7"/>
      <c r="L147" s="7"/>
      <c r="N147" s="7"/>
      <c r="O147" s="7"/>
      <c r="U147" s="26"/>
      <c r="V147" s="26"/>
      <c r="W147" s="26"/>
      <c r="X147" s="26"/>
      <c r="Y147" s="26"/>
      <c r="Z147" s="26"/>
      <c r="AA147" s="26"/>
      <c r="AB147" s="26"/>
      <c r="AC147" s="26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</row>
    <row r="148" spans="7:62" s="1" customFormat="1" ht="12.75" customHeight="1" x14ac:dyDescent="0.15">
      <c r="G148" s="7"/>
      <c r="H148" s="7"/>
      <c r="J148" s="7"/>
      <c r="K148" s="7"/>
      <c r="L148" s="7"/>
      <c r="N148" s="7"/>
      <c r="O148" s="7"/>
      <c r="U148" s="26"/>
      <c r="V148" s="26"/>
      <c r="W148" s="26"/>
      <c r="X148" s="26"/>
      <c r="Y148" s="26"/>
      <c r="Z148" s="26"/>
      <c r="AA148" s="26"/>
      <c r="AB148" s="26"/>
      <c r="AC148" s="26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</row>
    <row r="149" spans="7:62" s="1" customFormat="1" ht="12.75" customHeight="1" x14ac:dyDescent="0.15">
      <c r="G149" s="7"/>
      <c r="H149" s="7"/>
      <c r="J149" s="7"/>
      <c r="K149" s="7"/>
      <c r="L149" s="7"/>
      <c r="N149" s="7"/>
      <c r="O149" s="7"/>
      <c r="U149" s="26"/>
      <c r="V149" s="26"/>
      <c r="W149" s="26"/>
      <c r="X149" s="26"/>
      <c r="Y149" s="26"/>
      <c r="Z149" s="26"/>
      <c r="AA149" s="26"/>
      <c r="AB149" s="26"/>
      <c r="AC149" s="26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</row>
    <row r="150" spans="7:62" s="1" customFormat="1" ht="12.75" customHeight="1" x14ac:dyDescent="0.15">
      <c r="G150" s="7"/>
      <c r="H150" s="7"/>
      <c r="J150" s="7"/>
      <c r="K150" s="7"/>
      <c r="L150" s="7"/>
      <c r="N150" s="7"/>
      <c r="O150" s="7"/>
      <c r="U150" s="26"/>
      <c r="V150" s="26"/>
      <c r="W150" s="26"/>
      <c r="X150" s="26"/>
      <c r="Y150" s="26"/>
      <c r="Z150" s="26"/>
      <c r="AA150" s="26"/>
      <c r="AB150" s="26"/>
      <c r="AC150" s="26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</row>
    <row r="151" spans="7:62" s="1" customFormat="1" ht="12.75" customHeight="1" x14ac:dyDescent="0.15">
      <c r="G151" s="7"/>
      <c r="H151" s="7"/>
      <c r="J151" s="7"/>
      <c r="K151" s="7"/>
      <c r="L151" s="7"/>
      <c r="N151" s="7"/>
      <c r="O151" s="7"/>
      <c r="U151" s="26"/>
      <c r="V151" s="26"/>
      <c r="W151" s="26"/>
      <c r="X151" s="26"/>
      <c r="Y151" s="26"/>
      <c r="Z151" s="26"/>
      <c r="AA151" s="26"/>
      <c r="AB151" s="26"/>
      <c r="AC151" s="26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</row>
    <row r="152" spans="7:62" s="1" customFormat="1" ht="12.75" customHeight="1" x14ac:dyDescent="0.15">
      <c r="G152" s="7"/>
      <c r="H152" s="7"/>
      <c r="J152" s="7"/>
      <c r="K152" s="7"/>
      <c r="L152" s="7"/>
      <c r="N152" s="7"/>
      <c r="O152" s="7"/>
      <c r="U152" s="26"/>
      <c r="V152" s="26"/>
      <c r="W152" s="26"/>
      <c r="X152" s="26"/>
      <c r="Y152" s="26"/>
      <c r="Z152" s="26"/>
      <c r="AA152" s="26"/>
      <c r="AB152" s="26"/>
      <c r="AC152" s="26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</row>
    <row r="153" spans="7:62" s="1" customFormat="1" ht="12.75" customHeight="1" x14ac:dyDescent="0.15">
      <c r="G153" s="7"/>
      <c r="H153" s="7"/>
      <c r="J153" s="7"/>
      <c r="K153" s="7"/>
      <c r="L153" s="7"/>
      <c r="N153" s="7"/>
      <c r="O153" s="7"/>
      <c r="U153" s="26"/>
      <c r="V153" s="26"/>
      <c r="W153" s="26"/>
      <c r="X153" s="26"/>
      <c r="Y153" s="26"/>
      <c r="Z153" s="26"/>
      <c r="AA153" s="26"/>
      <c r="AB153" s="26"/>
      <c r="AC153" s="26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</row>
    <row r="154" spans="7:62" s="1" customFormat="1" ht="12.75" customHeight="1" x14ac:dyDescent="0.15">
      <c r="G154" s="7"/>
      <c r="H154" s="7"/>
      <c r="J154" s="7"/>
      <c r="K154" s="7"/>
      <c r="L154" s="7"/>
      <c r="N154" s="7"/>
      <c r="O154" s="7"/>
      <c r="U154" s="26"/>
      <c r="V154" s="26"/>
      <c r="W154" s="26"/>
      <c r="X154" s="26"/>
      <c r="Y154" s="26"/>
      <c r="Z154" s="26"/>
      <c r="AA154" s="26"/>
      <c r="AB154" s="26"/>
      <c r="AC154" s="26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</row>
    <row r="155" spans="7:62" s="1" customFormat="1" ht="12.75" customHeight="1" x14ac:dyDescent="0.15">
      <c r="G155" s="7"/>
      <c r="H155" s="7"/>
      <c r="J155" s="7"/>
      <c r="K155" s="7"/>
      <c r="L155" s="7"/>
      <c r="N155" s="7"/>
      <c r="O155" s="7"/>
      <c r="U155" s="26"/>
      <c r="V155" s="26"/>
      <c r="W155" s="26"/>
      <c r="X155" s="26"/>
      <c r="Y155" s="26"/>
      <c r="Z155" s="26"/>
      <c r="AA155" s="26"/>
      <c r="AB155" s="26"/>
      <c r="AC155" s="26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</row>
    <row r="156" spans="7:62" s="1" customFormat="1" ht="12.75" customHeight="1" x14ac:dyDescent="0.15">
      <c r="G156" s="7"/>
      <c r="H156" s="7"/>
      <c r="J156" s="7"/>
      <c r="K156" s="7"/>
      <c r="L156" s="7"/>
      <c r="N156" s="7"/>
      <c r="O156" s="7"/>
      <c r="U156" s="26"/>
      <c r="V156" s="26"/>
      <c r="W156" s="26"/>
      <c r="X156" s="26"/>
      <c r="Y156" s="26"/>
      <c r="Z156" s="26"/>
      <c r="AA156" s="26"/>
      <c r="AB156" s="26"/>
      <c r="AC156" s="26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</row>
    <row r="157" spans="7:62" s="1" customFormat="1" ht="12.75" customHeight="1" x14ac:dyDescent="0.15">
      <c r="G157" s="7"/>
      <c r="H157" s="7"/>
      <c r="J157" s="7"/>
      <c r="K157" s="7"/>
      <c r="L157" s="7"/>
      <c r="N157" s="7"/>
      <c r="O157" s="7"/>
      <c r="U157" s="26"/>
      <c r="V157" s="26"/>
      <c r="W157" s="26"/>
      <c r="X157" s="26"/>
      <c r="Y157" s="26"/>
      <c r="Z157" s="26"/>
      <c r="AA157" s="26"/>
      <c r="AB157" s="26"/>
      <c r="AC157" s="26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</row>
    <row r="158" spans="7:62" s="1" customFormat="1" ht="12.75" customHeight="1" x14ac:dyDescent="0.15">
      <c r="G158" s="7"/>
      <c r="H158" s="7"/>
      <c r="J158" s="7"/>
      <c r="K158" s="7"/>
      <c r="L158" s="7"/>
      <c r="N158" s="7"/>
      <c r="O158" s="7"/>
      <c r="U158" s="26"/>
      <c r="V158" s="26"/>
      <c r="W158" s="26"/>
      <c r="X158" s="26"/>
      <c r="Y158" s="26"/>
      <c r="Z158" s="26"/>
      <c r="AA158" s="26"/>
      <c r="AB158" s="26"/>
      <c r="AC158" s="26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</row>
    <row r="159" spans="7:62" s="1" customFormat="1" ht="12.75" customHeight="1" x14ac:dyDescent="0.15">
      <c r="G159" s="7"/>
      <c r="H159" s="7"/>
      <c r="J159" s="7"/>
      <c r="K159" s="7"/>
      <c r="L159" s="7"/>
      <c r="N159" s="7"/>
      <c r="O159" s="7"/>
      <c r="U159" s="26"/>
      <c r="V159" s="26"/>
      <c r="W159" s="26"/>
      <c r="X159" s="26"/>
      <c r="Y159" s="26"/>
      <c r="Z159" s="26"/>
      <c r="AA159" s="26"/>
      <c r="AB159" s="26"/>
      <c r="AC159" s="26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</row>
    <row r="160" spans="7:62" s="1" customFormat="1" ht="12.75" customHeight="1" x14ac:dyDescent="0.15">
      <c r="G160" s="7"/>
      <c r="H160" s="7"/>
      <c r="J160" s="7"/>
      <c r="K160" s="7"/>
      <c r="L160" s="7"/>
      <c r="N160" s="7"/>
      <c r="O160" s="7"/>
      <c r="U160" s="26"/>
      <c r="V160" s="26"/>
      <c r="W160" s="26"/>
      <c r="X160" s="26"/>
      <c r="Y160" s="26"/>
      <c r="Z160" s="26"/>
      <c r="AA160" s="26"/>
      <c r="AB160" s="26"/>
      <c r="AC160" s="26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</row>
    <row r="161" spans="7:62" s="1" customFormat="1" ht="12.75" customHeight="1" x14ac:dyDescent="0.15">
      <c r="G161" s="7"/>
      <c r="H161" s="7"/>
      <c r="J161" s="7"/>
      <c r="K161" s="7"/>
      <c r="L161" s="7"/>
      <c r="N161" s="7"/>
      <c r="O161" s="7"/>
      <c r="U161" s="26"/>
      <c r="V161" s="26"/>
      <c r="W161" s="26"/>
      <c r="X161" s="26"/>
      <c r="Y161" s="26"/>
      <c r="Z161" s="26"/>
      <c r="AA161" s="26"/>
      <c r="AB161" s="26"/>
      <c r="AC161" s="26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</row>
    <row r="162" spans="7:62" s="1" customFormat="1" ht="12.75" customHeight="1" x14ac:dyDescent="0.15">
      <c r="G162" s="7"/>
      <c r="H162" s="7"/>
      <c r="J162" s="7"/>
      <c r="K162" s="7"/>
      <c r="L162" s="7"/>
      <c r="N162" s="7"/>
      <c r="O162" s="7"/>
      <c r="U162" s="26"/>
      <c r="V162" s="26"/>
      <c r="W162" s="26"/>
      <c r="X162" s="26"/>
      <c r="Y162" s="26"/>
      <c r="Z162" s="26"/>
      <c r="AA162" s="26"/>
      <c r="AB162" s="26"/>
      <c r="AC162" s="26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</row>
    <row r="163" spans="7:62" s="1" customFormat="1" ht="12.75" customHeight="1" x14ac:dyDescent="0.15">
      <c r="G163" s="7"/>
      <c r="H163" s="7"/>
      <c r="J163" s="7"/>
      <c r="K163" s="7"/>
      <c r="L163" s="7"/>
      <c r="N163" s="7"/>
      <c r="O163" s="7"/>
      <c r="U163" s="26"/>
      <c r="V163" s="26"/>
      <c r="W163" s="26"/>
      <c r="X163" s="26"/>
      <c r="Y163" s="26"/>
      <c r="Z163" s="26"/>
      <c r="AA163" s="26"/>
      <c r="AB163" s="26"/>
      <c r="AC163" s="26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</row>
    <row r="164" spans="7:62" s="1" customFormat="1" ht="12.75" customHeight="1" x14ac:dyDescent="0.15">
      <c r="G164" s="7"/>
      <c r="H164" s="7"/>
      <c r="J164" s="7"/>
      <c r="K164" s="7"/>
      <c r="L164" s="7"/>
      <c r="N164" s="7"/>
      <c r="O164" s="7"/>
      <c r="U164" s="26"/>
      <c r="V164" s="26"/>
      <c r="W164" s="26"/>
      <c r="X164" s="26"/>
      <c r="Y164" s="26"/>
      <c r="Z164" s="26"/>
      <c r="AA164" s="26"/>
      <c r="AB164" s="26"/>
      <c r="AC164" s="26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</row>
    <row r="165" spans="7:62" s="1" customFormat="1" ht="12.75" customHeight="1" x14ac:dyDescent="0.15">
      <c r="G165" s="7"/>
      <c r="H165" s="7"/>
      <c r="J165" s="7"/>
      <c r="K165" s="7"/>
      <c r="L165" s="7"/>
      <c r="N165" s="7"/>
      <c r="O165" s="7"/>
      <c r="U165" s="26"/>
      <c r="V165" s="26"/>
      <c r="W165" s="26"/>
      <c r="X165" s="26"/>
      <c r="Y165" s="26"/>
      <c r="Z165" s="26"/>
      <c r="AA165" s="26"/>
      <c r="AB165" s="26"/>
      <c r="AC165" s="26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</row>
    <row r="166" spans="7:62" s="1" customFormat="1" ht="12.75" customHeight="1" x14ac:dyDescent="0.15">
      <c r="G166" s="7"/>
      <c r="H166" s="7"/>
      <c r="J166" s="7"/>
      <c r="K166" s="7"/>
      <c r="L166" s="7"/>
      <c r="N166" s="7"/>
      <c r="O166" s="7"/>
      <c r="U166" s="26"/>
      <c r="V166" s="26"/>
      <c r="W166" s="26"/>
      <c r="X166" s="26"/>
      <c r="Y166" s="26"/>
      <c r="Z166" s="26"/>
      <c r="AA166" s="26"/>
      <c r="AB166" s="26"/>
      <c r="AC166" s="26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</row>
    <row r="167" spans="7:62" s="1" customFormat="1" ht="12.75" customHeight="1" x14ac:dyDescent="0.15">
      <c r="G167" s="7"/>
      <c r="H167" s="7"/>
      <c r="J167" s="7"/>
      <c r="K167" s="7"/>
      <c r="L167" s="7"/>
      <c r="N167" s="7"/>
      <c r="O167" s="7"/>
      <c r="U167" s="26"/>
      <c r="V167" s="26"/>
      <c r="W167" s="26"/>
      <c r="X167" s="26"/>
      <c r="Y167" s="26"/>
      <c r="Z167" s="26"/>
      <c r="AA167" s="26"/>
      <c r="AB167" s="26"/>
      <c r="AC167" s="26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</row>
    <row r="168" spans="7:62" s="1" customFormat="1" ht="12.75" customHeight="1" x14ac:dyDescent="0.15">
      <c r="G168" s="7"/>
      <c r="H168" s="7"/>
      <c r="J168" s="7"/>
      <c r="K168" s="7"/>
      <c r="L168" s="7"/>
      <c r="N168" s="7"/>
      <c r="O168" s="7"/>
      <c r="U168" s="26"/>
      <c r="V168" s="26"/>
      <c r="W168" s="26"/>
      <c r="X168" s="26"/>
      <c r="Y168" s="26"/>
      <c r="Z168" s="26"/>
      <c r="AA168" s="26"/>
      <c r="AB168" s="26"/>
      <c r="AC168" s="26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</row>
    <row r="169" spans="7:62" s="1" customFormat="1" ht="12.75" customHeight="1" x14ac:dyDescent="0.15">
      <c r="G169" s="7"/>
      <c r="H169" s="7"/>
      <c r="J169" s="7"/>
      <c r="K169" s="7"/>
      <c r="L169" s="7"/>
      <c r="N169" s="7"/>
      <c r="O169" s="7"/>
      <c r="U169" s="26"/>
      <c r="V169" s="26"/>
      <c r="W169" s="26"/>
      <c r="X169" s="26"/>
      <c r="Y169" s="26"/>
      <c r="Z169" s="26"/>
      <c r="AA169" s="26"/>
      <c r="AB169" s="26"/>
      <c r="AC169" s="26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</row>
    <row r="170" spans="7:62" s="1" customFormat="1" ht="12.75" customHeight="1" x14ac:dyDescent="0.15">
      <c r="G170" s="7"/>
      <c r="H170" s="7"/>
      <c r="J170" s="7"/>
      <c r="K170" s="7"/>
      <c r="L170" s="7"/>
      <c r="N170" s="7"/>
      <c r="O170" s="7"/>
      <c r="U170" s="26"/>
      <c r="V170" s="26"/>
      <c r="W170" s="26"/>
      <c r="X170" s="26"/>
      <c r="Y170" s="26"/>
      <c r="Z170" s="26"/>
      <c r="AA170" s="26"/>
      <c r="AB170" s="26"/>
      <c r="AC170" s="26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</row>
    <row r="171" spans="7:62" s="1" customFormat="1" ht="12.75" customHeight="1" x14ac:dyDescent="0.15">
      <c r="G171" s="7"/>
      <c r="H171" s="7"/>
      <c r="J171" s="7"/>
      <c r="K171" s="7"/>
      <c r="L171" s="7"/>
      <c r="N171" s="7"/>
      <c r="O171" s="7"/>
      <c r="U171" s="26"/>
      <c r="V171" s="26"/>
      <c r="W171" s="26"/>
      <c r="X171" s="26"/>
      <c r="Y171" s="26"/>
      <c r="Z171" s="26"/>
      <c r="AA171" s="26"/>
      <c r="AB171" s="26"/>
      <c r="AC171" s="26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</row>
    <row r="172" spans="7:62" s="1" customFormat="1" ht="12.75" customHeight="1" x14ac:dyDescent="0.15">
      <c r="G172" s="7"/>
      <c r="H172" s="7"/>
      <c r="J172" s="7"/>
      <c r="K172" s="7"/>
      <c r="L172" s="7"/>
      <c r="N172" s="7"/>
      <c r="O172" s="7"/>
      <c r="U172" s="26"/>
      <c r="V172" s="26"/>
      <c r="W172" s="26"/>
      <c r="X172" s="26"/>
      <c r="Y172" s="26"/>
      <c r="Z172" s="26"/>
      <c r="AA172" s="26"/>
      <c r="AB172" s="26"/>
      <c r="AC172" s="26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</row>
    <row r="173" spans="7:62" s="1" customFormat="1" ht="12.75" customHeight="1" x14ac:dyDescent="0.15">
      <c r="G173" s="7"/>
      <c r="H173" s="7"/>
      <c r="J173" s="7"/>
      <c r="K173" s="7"/>
      <c r="L173" s="7"/>
      <c r="N173" s="7"/>
      <c r="O173" s="7"/>
      <c r="U173" s="26"/>
      <c r="V173" s="26"/>
      <c r="W173" s="26"/>
      <c r="X173" s="26"/>
      <c r="Y173" s="26"/>
      <c r="Z173" s="26"/>
      <c r="AA173" s="26"/>
      <c r="AB173" s="26"/>
      <c r="AC173" s="26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</row>
    <row r="174" spans="7:62" s="1" customFormat="1" ht="12.75" customHeight="1" x14ac:dyDescent="0.15">
      <c r="G174" s="7"/>
      <c r="H174" s="7"/>
      <c r="J174" s="7"/>
      <c r="K174" s="7"/>
      <c r="L174" s="7"/>
      <c r="N174" s="7"/>
      <c r="O174" s="7"/>
      <c r="U174" s="26"/>
      <c r="V174" s="26"/>
      <c r="W174" s="26"/>
      <c r="X174" s="26"/>
      <c r="Y174" s="26"/>
      <c r="Z174" s="26"/>
      <c r="AA174" s="26"/>
      <c r="AB174" s="26"/>
      <c r="AC174" s="26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</row>
    <row r="175" spans="7:62" s="1" customFormat="1" ht="12.75" customHeight="1" x14ac:dyDescent="0.15">
      <c r="G175" s="7"/>
      <c r="H175" s="7"/>
      <c r="J175" s="7"/>
      <c r="K175" s="7"/>
      <c r="L175" s="7"/>
      <c r="N175" s="7"/>
      <c r="O175" s="7"/>
      <c r="U175" s="26"/>
      <c r="V175" s="26"/>
      <c r="W175" s="26"/>
      <c r="X175" s="26"/>
      <c r="Y175" s="26"/>
      <c r="Z175" s="26"/>
      <c r="AA175" s="26"/>
      <c r="AB175" s="26"/>
      <c r="AC175" s="26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</row>
    <row r="176" spans="7:62" s="1" customFormat="1" ht="12.75" customHeight="1" x14ac:dyDescent="0.15">
      <c r="G176" s="7"/>
      <c r="H176" s="7"/>
      <c r="J176" s="7"/>
      <c r="K176" s="7"/>
      <c r="L176" s="7"/>
      <c r="N176" s="7"/>
      <c r="O176" s="7"/>
      <c r="U176" s="26"/>
      <c r="V176" s="26"/>
      <c r="W176" s="26"/>
      <c r="X176" s="26"/>
      <c r="Y176" s="26"/>
      <c r="Z176" s="26"/>
      <c r="AA176" s="26"/>
      <c r="AB176" s="26"/>
      <c r="AC176" s="26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</row>
    <row r="177" spans="7:62" s="1" customFormat="1" ht="12.75" customHeight="1" x14ac:dyDescent="0.15">
      <c r="G177" s="7"/>
      <c r="H177" s="7"/>
      <c r="J177" s="7"/>
      <c r="K177" s="7"/>
      <c r="L177" s="7"/>
      <c r="N177" s="7"/>
      <c r="O177" s="7"/>
      <c r="U177" s="26"/>
      <c r="V177" s="26"/>
      <c r="W177" s="26"/>
      <c r="X177" s="26"/>
      <c r="Y177" s="26"/>
      <c r="Z177" s="26"/>
      <c r="AA177" s="26"/>
      <c r="AB177" s="26"/>
      <c r="AC177" s="26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</row>
    <row r="178" spans="7:62" s="1" customFormat="1" ht="12.75" customHeight="1" x14ac:dyDescent="0.15">
      <c r="G178" s="7"/>
      <c r="H178" s="7"/>
      <c r="J178" s="7"/>
      <c r="K178" s="7"/>
      <c r="L178" s="7"/>
      <c r="N178" s="7"/>
      <c r="O178" s="7"/>
      <c r="U178" s="26"/>
      <c r="V178" s="26"/>
      <c r="W178" s="26"/>
      <c r="X178" s="26"/>
      <c r="Y178" s="26"/>
      <c r="Z178" s="26"/>
      <c r="AA178" s="26"/>
      <c r="AB178" s="26"/>
      <c r="AC178" s="26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</row>
    <row r="179" spans="7:62" s="1" customFormat="1" ht="12.75" customHeight="1" x14ac:dyDescent="0.15">
      <c r="G179" s="7"/>
      <c r="H179" s="7"/>
      <c r="J179" s="7"/>
      <c r="K179" s="7"/>
      <c r="L179" s="7"/>
      <c r="N179" s="7"/>
      <c r="O179" s="7"/>
      <c r="U179" s="26"/>
      <c r="V179" s="26"/>
      <c r="W179" s="26"/>
      <c r="X179" s="26"/>
      <c r="Y179" s="26"/>
      <c r="Z179" s="26"/>
      <c r="AA179" s="26"/>
      <c r="AB179" s="26"/>
      <c r="AC179" s="26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</row>
    <row r="180" spans="7:62" s="1" customFormat="1" ht="12.75" customHeight="1" x14ac:dyDescent="0.15">
      <c r="G180" s="7"/>
      <c r="H180" s="7"/>
      <c r="J180" s="7"/>
      <c r="K180" s="7"/>
      <c r="L180" s="7"/>
      <c r="N180" s="7"/>
      <c r="O180" s="7"/>
      <c r="U180" s="26"/>
      <c r="V180" s="26"/>
      <c r="W180" s="26"/>
      <c r="X180" s="26"/>
      <c r="Y180" s="26"/>
      <c r="Z180" s="26"/>
      <c r="AA180" s="26"/>
      <c r="AB180" s="26"/>
      <c r="AC180" s="26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</row>
    <row r="181" spans="7:62" s="1" customFormat="1" ht="12.75" customHeight="1" x14ac:dyDescent="0.15">
      <c r="G181" s="7"/>
      <c r="H181" s="7"/>
      <c r="J181" s="7"/>
      <c r="K181" s="7"/>
      <c r="L181" s="7"/>
      <c r="N181" s="7"/>
      <c r="O181" s="7"/>
      <c r="U181" s="26"/>
      <c r="V181" s="26"/>
      <c r="W181" s="26"/>
      <c r="X181" s="26"/>
      <c r="Y181" s="26"/>
      <c r="Z181" s="26"/>
      <c r="AA181" s="26"/>
      <c r="AB181" s="26"/>
      <c r="AC181" s="26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</row>
    <row r="182" spans="7:62" s="1" customFormat="1" ht="12.75" customHeight="1" x14ac:dyDescent="0.15">
      <c r="G182" s="7"/>
      <c r="H182" s="7"/>
      <c r="J182" s="7"/>
      <c r="K182" s="7"/>
      <c r="L182" s="7"/>
      <c r="N182" s="7"/>
      <c r="O182" s="7"/>
      <c r="U182" s="26"/>
      <c r="V182" s="26"/>
      <c r="W182" s="26"/>
      <c r="X182" s="26"/>
      <c r="Y182" s="26"/>
      <c r="Z182" s="26"/>
      <c r="AA182" s="26"/>
      <c r="AB182" s="26"/>
      <c r="AC182" s="26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</row>
    <row r="183" spans="7:62" s="1" customFormat="1" ht="12.75" customHeight="1" x14ac:dyDescent="0.15">
      <c r="G183" s="7"/>
      <c r="H183" s="7"/>
      <c r="J183" s="7"/>
      <c r="K183" s="7"/>
      <c r="L183" s="7"/>
      <c r="N183" s="7"/>
      <c r="O183" s="7"/>
      <c r="U183" s="26"/>
      <c r="V183" s="26"/>
      <c r="W183" s="26"/>
      <c r="X183" s="26"/>
      <c r="Y183" s="26"/>
      <c r="Z183" s="26"/>
      <c r="AA183" s="26"/>
      <c r="AB183" s="26"/>
      <c r="AC183" s="26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</row>
    <row r="184" spans="7:62" s="1" customFormat="1" ht="12.75" customHeight="1" x14ac:dyDescent="0.15">
      <c r="G184" s="7"/>
      <c r="H184" s="7"/>
      <c r="J184" s="7"/>
      <c r="K184" s="7"/>
      <c r="L184" s="7"/>
      <c r="N184" s="7"/>
      <c r="O184" s="7"/>
      <c r="U184" s="26"/>
      <c r="V184" s="26"/>
      <c r="W184" s="26"/>
      <c r="X184" s="26"/>
      <c r="Y184" s="26"/>
      <c r="Z184" s="26"/>
      <c r="AA184" s="26"/>
      <c r="AB184" s="26"/>
      <c r="AC184" s="26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</row>
    <row r="185" spans="7:62" s="1" customFormat="1" ht="12.75" customHeight="1" x14ac:dyDescent="0.15">
      <c r="G185" s="7"/>
      <c r="H185" s="7"/>
      <c r="J185" s="7"/>
      <c r="K185" s="7"/>
      <c r="L185" s="7"/>
      <c r="N185" s="7"/>
      <c r="O185" s="7"/>
      <c r="U185" s="26"/>
      <c r="V185" s="26"/>
      <c r="W185" s="26"/>
      <c r="X185" s="26"/>
      <c r="Y185" s="26"/>
      <c r="Z185" s="26"/>
      <c r="AA185" s="26"/>
      <c r="AB185" s="26"/>
      <c r="AC185" s="26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</row>
    <row r="186" spans="7:62" s="1" customFormat="1" ht="12.75" customHeight="1" x14ac:dyDescent="0.15">
      <c r="G186" s="7"/>
      <c r="H186" s="7"/>
      <c r="J186" s="7"/>
      <c r="K186" s="7"/>
      <c r="L186" s="7"/>
      <c r="N186" s="7"/>
      <c r="O186" s="7"/>
      <c r="U186" s="26"/>
      <c r="V186" s="26"/>
      <c r="W186" s="26"/>
      <c r="X186" s="26"/>
      <c r="Y186" s="26"/>
      <c r="Z186" s="26"/>
      <c r="AA186" s="26"/>
      <c r="AB186" s="26"/>
      <c r="AC186" s="26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</row>
    <row r="187" spans="7:62" s="1" customFormat="1" ht="12.75" customHeight="1" x14ac:dyDescent="0.15">
      <c r="G187" s="7"/>
      <c r="H187" s="7"/>
      <c r="J187" s="7"/>
      <c r="K187" s="7"/>
      <c r="L187" s="7"/>
      <c r="N187" s="7"/>
      <c r="O187" s="7"/>
      <c r="U187" s="26"/>
      <c r="V187" s="26"/>
      <c r="W187" s="26"/>
      <c r="X187" s="26"/>
      <c r="Y187" s="26"/>
      <c r="Z187" s="26"/>
      <c r="AA187" s="26"/>
      <c r="AB187" s="26"/>
      <c r="AC187" s="26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</row>
    <row r="188" spans="7:62" s="1" customFormat="1" ht="12.75" customHeight="1" x14ac:dyDescent="0.15">
      <c r="G188" s="7"/>
      <c r="H188" s="7"/>
      <c r="J188" s="7"/>
      <c r="K188" s="7"/>
      <c r="L188" s="7"/>
      <c r="N188" s="7"/>
      <c r="O188" s="7"/>
      <c r="U188" s="26"/>
      <c r="V188" s="26"/>
      <c r="W188" s="26"/>
      <c r="X188" s="26"/>
      <c r="Y188" s="26"/>
      <c r="Z188" s="26"/>
      <c r="AA188" s="26"/>
      <c r="AB188" s="26"/>
      <c r="AC188" s="26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</row>
    <row r="189" spans="7:62" s="1" customFormat="1" ht="12.75" customHeight="1" x14ac:dyDescent="0.15">
      <c r="G189" s="7"/>
      <c r="H189" s="7"/>
      <c r="J189" s="7"/>
      <c r="K189" s="7"/>
      <c r="L189" s="7"/>
      <c r="N189" s="7"/>
      <c r="O189" s="7"/>
      <c r="U189" s="26"/>
      <c r="V189" s="26"/>
      <c r="W189" s="26"/>
      <c r="X189" s="26"/>
      <c r="Y189" s="26"/>
      <c r="Z189" s="26"/>
      <c r="AA189" s="26"/>
      <c r="AB189" s="26"/>
      <c r="AC189" s="26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</row>
    <row r="190" spans="7:62" s="1" customFormat="1" ht="12.75" customHeight="1" x14ac:dyDescent="0.15">
      <c r="G190" s="7"/>
      <c r="H190" s="7"/>
      <c r="J190" s="7"/>
      <c r="K190" s="7"/>
      <c r="L190" s="7"/>
      <c r="N190" s="7"/>
      <c r="O190" s="7"/>
      <c r="U190" s="26"/>
      <c r="V190" s="26"/>
      <c r="W190" s="26"/>
      <c r="X190" s="26"/>
      <c r="Y190" s="26"/>
      <c r="Z190" s="26"/>
      <c r="AA190" s="26"/>
      <c r="AB190" s="26"/>
      <c r="AC190" s="26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</row>
    <row r="191" spans="7:62" s="1" customFormat="1" ht="12.75" customHeight="1" x14ac:dyDescent="0.15">
      <c r="G191" s="7"/>
      <c r="H191" s="7"/>
      <c r="J191" s="7"/>
      <c r="K191" s="7"/>
      <c r="L191" s="7"/>
      <c r="N191" s="7"/>
      <c r="O191" s="7"/>
      <c r="U191" s="26"/>
      <c r="V191" s="26"/>
      <c r="W191" s="26"/>
      <c r="X191" s="26"/>
      <c r="Y191" s="26"/>
      <c r="Z191" s="26"/>
      <c r="AA191" s="26"/>
      <c r="AB191" s="26"/>
      <c r="AC191" s="26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</row>
    <row r="192" spans="7:62" s="1" customFormat="1" ht="12.75" customHeight="1" x14ac:dyDescent="0.15">
      <c r="G192" s="7"/>
      <c r="H192" s="7"/>
      <c r="J192" s="7"/>
      <c r="K192" s="7"/>
      <c r="L192" s="7"/>
      <c r="N192" s="7"/>
      <c r="O192" s="7"/>
      <c r="U192" s="26"/>
      <c r="V192" s="26"/>
      <c r="W192" s="26"/>
      <c r="X192" s="26"/>
      <c r="Y192" s="26"/>
      <c r="Z192" s="26"/>
      <c r="AA192" s="26"/>
      <c r="AB192" s="26"/>
      <c r="AC192" s="26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</row>
    <row r="193" spans="7:62" s="1" customFormat="1" ht="12.75" customHeight="1" x14ac:dyDescent="0.15">
      <c r="G193" s="7"/>
      <c r="H193" s="7"/>
      <c r="J193" s="7"/>
      <c r="K193" s="7"/>
      <c r="L193" s="7"/>
      <c r="N193" s="7"/>
      <c r="O193" s="7"/>
      <c r="U193" s="26"/>
      <c r="V193" s="26"/>
      <c r="W193" s="26"/>
      <c r="X193" s="26"/>
      <c r="Y193" s="26"/>
      <c r="Z193" s="26"/>
      <c r="AA193" s="26"/>
      <c r="AB193" s="26"/>
      <c r="AC193" s="26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</row>
    <row r="194" spans="7:62" s="1" customFormat="1" ht="12.75" customHeight="1" x14ac:dyDescent="0.15">
      <c r="G194" s="7"/>
      <c r="H194" s="7"/>
      <c r="J194" s="7"/>
      <c r="K194" s="7"/>
      <c r="L194" s="7"/>
      <c r="N194" s="7"/>
      <c r="O194" s="7"/>
      <c r="U194" s="26"/>
      <c r="V194" s="26"/>
      <c r="W194" s="26"/>
      <c r="X194" s="26"/>
      <c r="Y194" s="26"/>
      <c r="Z194" s="26"/>
      <c r="AA194" s="26"/>
      <c r="AB194" s="26"/>
      <c r="AC194" s="26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</row>
    <row r="195" spans="7:62" s="1" customFormat="1" ht="12.75" customHeight="1" x14ac:dyDescent="0.15">
      <c r="G195" s="7"/>
      <c r="H195" s="7"/>
      <c r="J195" s="7"/>
      <c r="K195" s="7"/>
      <c r="L195" s="7"/>
      <c r="N195" s="7"/>
      <c r="O195" s="7"/>
      <c r="U195" s="26"/>
      <c r="V195" s="26"/>
      <c r="W195" s="26"/>
      <c r="X195" s="26"/>
      <c r="Y195" s="26"/>
      <c r="Z195" s="26"/>
      <c r="AA195" s="26"/>
      <c r="AB195" s="26"/>
      <c r="AC195" s="26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</row>
    <row r="196" spans="7:62" s="1" customFormat="1" ht="12.75" customHeight="1" x14ac:dyDescent="0.15">
      <c r="G196" s="7"/>
      <c r="H196" s="7"/>
      <c r="J196" s="7"/>
      <c r="K196" s="7"/>
      <c r="L196" s="7"/>
      <c r="N196" s="7"/>
      <c r="O196" s="7"/>
      <c r="U196" s="26"/>
      <c r="V196" s="26"/>
      <c r="W196" s="26"/>
      <c r="X196" s="26"/>
      <c r="Y196" s="26"/>
      <c r="Z196" s="26"/>
      <c r="AA196" s="26"/>
      <c r="AB196" s="26"/>
      <c r="AC196" s="26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</row>
    <row r="197" spans="7:62" s="1" customFormat="1" ht="12.75" customHeight="1" x14ac:dyDescent="0.15">
      <c r="G197" s="7"/>
      <c r="H197" s="7"/>
      <c r="J197" s="7"/>
      <c r="K197" s="7"/>
      <c r="L197" s="7"/>
      <c r="N197" s="7"/>
      <c r="O197" s="7"/>
      <c r="U197" s="26"/>
      <c r="V197" s="26"/>
      <c r="W197" s="26"/>
      <c r="X197" s="26"/>
      <c r="Y197" s="26"/>
      <c r="Z197" s="26"/>
      <c r="AA197" s="26"/>
      <c r="AB197" s="26"/>
      <c r="AC197" s="26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</row>
    <row r="198" spans="7:62" s="1" customFormat="1" ht="12.75" customHeight="1" x14ac:dyDescent="0.15">
      <c r="G198" s="7"/>
      <c r="H198" s="7"/>
      <c r="J198" s="7"/>
      <c r="K198" s="7"/>
      <c r="L198" s="7"/>
      <c r="N198" s="7"/>
      <c r="O198" s="7"/>
      <c r="U198" s="26"/>
      <c r="V198" s="26"/>
      <c r="W198" s="26"/>
      <c r="X198" s="26"/>
      <c r="Y198" s="26"/>
      <c r="Z198" s="26"/>
      <c r="AA198" s="26"/>
      <c r="AB198" s="26"/>
      <c r="AC198" s="26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</row>
    <row r="199" spans="7:62" s="1" customFormat="1" ht="12.75" customHeight="1" x14ac:dyDescent="0.15">
      <c r="G199" s="7"/>
      <c r="H199" s="7"/>
      <c r="J199" s="7"/>
      <c r="K199" s="7"/>
      <c r="L199" s="7"/>
      <c r="N199" s="7"/>
      <c r="O199" s="7"/>
      <c r="U199" s="26"/>
      <c r="V199" s="26"/>
      <c r="W199" s="26"/>
      <c r="X199" s="26"/>
      <c r="Y199" s="26"/>
      <c r="Z199" s="26"/>
      <c r="AA199" s="26"/>
      <c r="AB199" s="26"/>
      <c r="AC199" s="26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</row>
    <row r="200" spans="7:62" s="1" customFormat="1" ht="12.75" customHeight="1" x14ac:dyDescent="0.15">
      <c r="G200" s="7"/>
      <c r="H200" s="7"/>
      <c r="J200" s="7"/>
      <c r="K200" s="7"/>
      <c r="L200" s="7"/>
      <c r="N200" s="7"/>
      <c r="O200" s="7"/>
      <c r="U200" s="26"/>
      <c r="V200" s="26"/>
      <c r="W200" s="26"/>
      <c r="X200" s="26"/>
      <c r="Y200" s="26"/>
      <c r="Z200" s="26"/>
      <c r="AA200" s="26"/>
      <c r="AB200" s="26"/>
      <c r="AC200" s="26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</row>
    <row r="201" spans="7:62" s="1" customFormat="1" ht="12.75" customHeight="1" x14ac:dyDescent="0.15">
      <c r="G201" s="7"/>
      <c r="H201" s="7"/>
      <c r="J201" s="7"/>
      <c r="K201" s="7"/>
      <c r="L201" s="7"/>
      <c r="N201" s="7"/>
      <c r="O201" s="7"/>
      <c r="U201" s="26"/>
      <c r="V201" s="26"/>
      <c r="W201" s="26"/>
      <c r="X201" s="26"/>
      <c r="Y201" s="26"/>
      <c r="Z201" s="26"/>
      <c r="AA201" s="26"/>
      <c r="AB201" s="26"/>
      <c r="AC201" s="26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</row>
    <row r="202" spans="7:62" s="1" customFormat="1" ht="12.75" customHeight="1" x14ac:dyDescent="0.15">
      <c r="G202" s="7"/>
      <c r="H202" s="7"/>
      <c r="J202" s="7"/>
      <c r="K202" s="7"/>
      <c r="L202" s="7"/>
      <c r="N202" s="7"/>
      <c r="O202" s="7"/>
      <c r="U202" s="26"/>
      <c r="V202" s="26"/>
      <c r="W202" s="26"/>
      <c r="X202" s="26"/>
      <c r="Y202" s="26"/>
      <c r="Z202" s="26"/>
      <c r="AA202" s="26"/>
      <c r="AB202" s="26"/>
      <c r="AC202" s="26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</row>
    <row r="203" spans="7:62" s="1" customFormat="1" ht="12.75" customHeight="1" x14ac:dyDescent="0.15">
      <c r="G203" s="7"/>
      <c r="H203" s="7"/>
      <c r="J203" s="7"/>
      <c r="K203" s="7"/>
      <c r="L203" s="7"/>
      <c r="N203" s="7"/>
      <c r="O203" s="7"/>
      <c r="U203" s="26"/>
      <c r="V203" s="26"/>
      <c r="W203" s="26"/>
      <c r="X203" s="26"/>
      <c r="Y203" s="26"/>
      <c r="Z203" s="26"/>
      <c r="AA203" s="26"/>
      <c r="AB203" s="26"/>
      <c r="AC203" s="26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</row>
    <row r="204" spans="7:62" s="1" customFormat="1" ht="12.75" customHeight="1" x14ac:dyDescent="0.15">
      <c r="G204" s="7"/>
      <c r="H204" s="7"/>
      <c r="J204" s="7"/>
      <c r="K204" s="7"/>
      <c r="L204" s="7"/>
      <c r="N204" s="7"/>
      <c r="O204" s="7"/>
      <c r="U204" s="26"/>
      <c r="V204" s="26"/>
      <c r="W204" s="26"/>
      <c r="X204" s="26"/>
      <c r="Y204" s="26"/>
      <c r="Z204" s="26"/>
      <c r="AA204" s="26"/>
      <c r="AB204" s="26"/>
      <c r="AC204" s="26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</row>
    <row r="205" spans="7:62" s="1" customFormat="1" ht="12.75" customHeight="1" x14ac:dyDescent="0.15">
      <c r="G205" s="7"/>
      <c r="H205" s="7"/>
      <c r="J205" s="7"/>
      <c r="K205" s="7"/>
      <c r="L205" s="7"/>
      <c r="N205" s="7"/>
      <c r="O205" s="7"/>
      <c r="U205" s="26"/>
      <c r="V205" s="26"/>
      <c r="W205" s="26"/>
      <c r="X205" s="26"/>
      <c r="Y205" s="26"/>
      <c r="Z205" s="26"/>
      <c r="AA205" s="26"/>
      <c r="AB205" s="26"/>
      <c r="AC205" s="26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</row>
    <row r="206" spans="7:62" s="1" customFormat="1" ht="12.75" customHeight="1" x14ac:dyDescent="0.15">
      <c r="G206" s="7"/>
      <c r="H206" s="7"/>
      <c r="J206" s="7"/>
      <c r="K206" s="7"/>
      <c r="L206" s="7"/>
      <c r="N206" s="7"/>
      <c r="O206" s="7"/>
      <c r="U206" s="26"/>
      <c r="V206" s="26"/>
      <c r="W206" s="26"/>
      <c r="X206" s="26"/>
      <c r="Y206" s="26"/>
      <c r="Z206" s="26"/>
      <c r="AA206" s="26"/>
      <c r="AB206" s="26"/>
      <c r="AC206" s="26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</row>
    <row r="207" spans="7:62" s="1" customFormat="1" ht="12.75" customHeight="1" x14ac:dyDescent="0.15">
      <c r="G207" s="7"/>
      <c r="H207" s="7"/>
      <c r="J207" s="7"/>
      <c r="K207" s="7"/>
      <c r="L207" s="7"/>
      <c r="N207" s="7"/>
      <c r="O207" s="7"/>
      <c r="U207" s="26"/>
      <c r="V207" s="26"/>
      <c r="W207" s="26"/>
      <c r="X207" s="26"/>
      <c r="Y207" s="26"/>
      <c r="Z207" s="26"/>
      <c r="AA207" s="26"/>
      <c r="AB207" s="26"/>
      <c r="AC207" s="26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</row>
    <row r="208" spans="7:62" s="1" customFormat="1" ht="12.75" customHeight="1" x14ac:dyDescent="0.15">
      <c r="G208" s="7"/>
      <c r="H208" s="7"/>
      <c r="J208" s="7"/>
      <c r="K208" s="7"/>
      <c r="L208" s="7"/>
      <c r="N208" s="7"/>
      <c r="O208" s="7"/>
      <c r="U208" s="26"/>
      <c r="V208" s="26"/>
      <c r="W208" s="26"/>
      <c r="X208" s="26"/>
      <c r="Y208" s="26"/>
      <c r="Z208" s="26"/>
      <c r="AA208" s="26"/>
      <c r="AB208" s="26"/>
      <c r="AC208" s="26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</row>
    <row r="209" spans="7:62" s="1" customFormat="1" ht="12.75" customHeight="1" x14ac:dyDescent="0.15">
      <c r="G209" s="7"/>
      <c r="H209" s="7"/>
      <c r="J209" s="7"/>
      <c r="K209" s="7"/>
      <c r="L209" s="7"/>
      <c r="N209" s="7"/>
      <c r="O209" s="7"/>
      <c r="U209" s="26"/>
      <c r="V209" s="26"/>
      <c r="W209" s="26"/>
      <c r="X209" s="26"/>
      <c r="Y209" s="26"/>
      <c r="Z209" s="26"/>
      <c r="AA209" s="26"/>
      <c r="AB209" s="26"/>
      <c r="AC209" s="26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</row>
    <row r="210" spans="7:62" s="1" customFormat="1" ht="12.75" customHeight="1" x14ac:dyDescent="0.15">
      <c r="G210" s="7"/>
      <c r="H210" s="7"/>
      <c r="J210" s="7"/>
      <c r="K210" s="7"/>
      <c r="L210" s="7"/>
      <c r="N210" s="7"/>
      <c r="O210" s="7"/>
      <c r="U210" s="26"/>
      <c r="V210" s="26"/>
      <c r="W210" s="26"/>
      <c r="X210" s="26"/>
      <c r="Y210" s="26"/>
      <c r="Z210" s="26"/>
      <c r="AA210" s="26"/>
      <c r="AB210" s="26"/>
      <c r="AC210" s="26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</row>
    <row r="211" spans="7:62" s="1" customFormat="1" ht="12.75" customHeight="1" x14ac:dyDescent="0.15">
      <c r="G211" s="7"/>
      <c r="H211" s="7"/>
      <c r="J211" s="7"/>
      <c r="K211" s="7"/>
      <c r="L211" s="7"/>
      <c r="N211" s="7"/>
      <c r="O211" s="7"/>
      <c r="U211" s="26"/>
      <c r="V211" s="26"/>
      <c r="W211" s="26"/>
      <c r="X211" s="26"/>
      <c r="Y211" s="26"/>
      <c r="Z211" s="26"/>
      <c r="AA211" s="26"/>
      <c r="AB211" s="26"/>
      <c r="AC211" s="26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</row>
    <row r="212" spans="7:62" s="1" customFormat="1" ht="12.75" customHeight="1" x14ac:dyDescent="0.15">
      <c r="G212" s="7"/>
      <c r="H212" s="7"/>
      <c r="J212" s="7"/>
      <c r="K212" s="7"/>
      <c r="L212" s="7"/>
      <c r="N212" s="7"/>
      <c r="O212" s="7"/>
      <c r="U212" s="26"/>
      <c r="V212" s="26"/>
      <c r="W212" s="26"/>
      <c r="X212" s="26"/>
      <c r="Y212" s="26"/>
      <c r="Z212" s="26"/>
      <c r="AA212" s="26"/>
      <c r="AB212" s="26"/>
      <c r="AC212" s="26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</row>
    <row r="213" spans="7:62" s="1" customFormat="1" ht="12.75" customHeight="1" x14ac:dyDescent="0.15">
      <c r="G213" s="7"/>
      <c r="H213" s="7"/>
      <c r="J213" s="7"/>
      <c r="K213" s="7"/>
      <c r="L213" s="7"/>
      <c r="N213" s="7"/>
      <c r="O213" s="7"/>
      <c r="U213" s="26"/>
      <c r="V213" s="26"/>
      <c r="W213" s="26"/>
      <c r="X213" s="26"/>
      <c r="Y213" s="26"/>
      <c r="Z213" s="26"/>
      <c r="AA213" s="26"/>
      <c r="AB213" s="26"/>
      <c r="AC213" s="26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</row>
    <row r="214" spans="7:62" s="1" customFormat="1" ht="12.75" customHeight="1" x14ac:dyDescent="0.15">
      <c r="G214" s="7"/>
      <c r="H214" s="7"/>
      <c r="J214" s="7"/>
      <c r="K214" s="7"/>
      <c r="L214" s="7"/>
      <c r="N214" s="7"/>
      <c r="O214" s="7"/>
      <c r="U214" s="26"/>
      <c r="V214" s="26"/>
      <c r="W214" s="26"/>
      <c r="X214" s="26"/>
      <c r="Y214" s="26"/>
      <c r="Z214" s="26"/>
      <c r="AA214" s="26"/>
      <c r="AB214" s="26"/>
      <c r="AC214" s="26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</row>
    <row r="215" spans="7:62" s="1" customFormat="1" ht="12.75" customHeight="1" x14ac:dyDescent="0.15">
      <c r="G215" s="7"/>
      <c r="H215" s="7"/>
      <c r="J215" s="7"/>
      <c r="K215" s="7"/>
      <c r="L215" s="7"/>
      <c r="N215" s="7"/>
      <c r="O215" s="7"/>
      <c r="U215" s="26"/>
      <c r="V215" s="26"/>
      <c r="W215" s="26"/>
      <c r="X215" s="26"/>
      <c r="Y215" s="26"/>
      <c r="Z215" s="26"/>
      <c r="AA215" s="26"/>
      <c r="AB215" s="26"/>
      <c r="AC215" s="26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</row>
    <row r="216" spans="7:62" s="1" customFormat="1" ht="12.75" customHeight="1" x14ac:dyDescent="0.15">
      <c r="G216" s="7"/>
      <c r="H216" s="7"/>
      <c r="J216" s="7"/>
      <c r="K216" s="7"/>
      <c r="L216" s="7"/>
      <c r="N216" s="7"/>
      <c r="O216" s="7"/>
      <c r="U216" s="26"/>
      <c r="V216" s="26"/>
      <c r="W216" s="26"/>
      <c r="X216" s="26"/>
      <c r="Y216" s="26"/>
      <c r="Z216" s="26"/>
      <c r="AA216" s="26"/>
      <c r="AB216" s="26"/>
      <c r="AC216" s="26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</row>
    <row r="217" spans="7:62" s="1" customFormat="1" ht="12.75" customHeight="1" x14ac:dyDescent="0.15">
      <c r="G217" s="7"/>
      <c r="H217" s="7"/>
      <c r="J217" s="7"/>
      <c r="K217" s="7"/>
      <c r="L217" s="7"/>
      <c r="N217" s="7"/>
      <c r="O217" s="7"/>
      <c r="U217" s="26"/>
      <c r="V217" s="26"/>
      <c r="W217" s="26"/>
      <c r="X217" s="26"/>
      <c r="Y217" s="26"/>
      <c r="Z217" s="26"/>
      <c r="AA217" s="26"/>
      <c r="AB217" s="26"/>
      <c r="AC217" s="26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</row>
    <row r="218" spans="7:62" s="1" customFormat="1" ht="12.75" customHeight="1" x14ac:dyDescent="0.15">
      <c r="G218" s="7"/>
      <c r="H218" s="7"/>
      <c r="J218" s="7"/>
      <c r="K218" s="7"/>
      <c r="L218" s="7"/>
      <c r="N218" s="7"/>
      <c r="O218" s="7"/>
      <c r="U218" s="26"/>
      <c r="V218" s="26"/>
      <c r="W218" s="26"/>
      <c r="X218" s="26"/>
      <c r="Y218" s="26"/>
      <c r="Z218" s="26"/>
      <c r="AA218" s="26"/>
      <c r="AB218" s="26"/>
      <c r="AC218" s="26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</row>
    <row r="219" spans="7:62" s="1" customFormat="1" ht="12.75" customHeight="1" x14ac:dyDescent="0.15">
      <c r="G219" s="7"/>
      <c r="H219" s="7"/>
      <c r="J219" s="7"/>
      <c r="K219" s="7"/>
      <c r="L219" s="7"/>
      <c r="N219" s="7"/>
      <c r="O219" s="7"/>
      <c r="U219" s="26"/>
      <c r="V219" s="26"/>
      <c r="W219" s="26"/>
      <c r="X219" s="26"/>
      <c r="Y219" s="26"/>
      <c r="Z219" s="26"/>
      <c r="AA219" s="26"/>
      <c r="AB219" s="26"/>
      <c r="AC219" s="26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</row>
    <row r="220" spans="7:62" s="1" customFormat="1" ht="12.75" customHeight="1" x14ac:dyDescent="0.15">
      <c r="G220" s="7"/>
      <c r="H220" s="7"/>
      <c r="J220" s="7"/>
      <c r="K220" s="7"/>
      <c r="L220" s="7"/>
      <c r="N220" s="7"/>
      <c r="O220" s="7"/>
      <c r="U220" s="26"/>
      <c r="V220" s="26"/>
      <c r="W220" s="26"/>
      <c r="X220" s="26"/>
      <c r="Y220" s="26"/>
      <c r="Z220" s="26"/>
      <c r="AA220" s="26"/>
      <c r="AB220" s="26"/>
      <c r="AC220" s="26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</row>
    <row r="221" spans="7:62" s="1" customFormat="1" ht="12.75" customHeight="1" x14ac:dyDescent="0.15">
      <c r="G221" s="7"/>
      <c r="H221" s="7"/>
      <c r="J221" s="7"/>
      <c r="K221" s="7"/>
      <c r="L221" s="7"/>
      <c r="N221" s="7"/>
      <c r="O221" s="7"/>
      <c r="U221" s="26"/>
      <c r="V221" s="26"/>
      <c r="W221" s="26"/>
      <c r="X221" s="26"/>
      <c r="Y221" s="26"/>
      <c r="Z221" s="26"/>
      <c r="AA221" s="26"/>
      <c r="AB221" s="26"/>
      <c r="AC221" s="26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</row>
    <row r="222" spans="7:62" s="1" customFormat="1" ht="12.75" customHeight="1" x14ac:dyDescent="0.15">
      <c r="G222" s="7"/>
      <c r="H222" s="7"/>
      <c r="J222" s="7"/>
      <c r="K222" s="7"/>
      <c r="L222" s="7"/>
      <c r="N222" s="7"/>
      <c r="O222" s="7"/>
      <c r="U222" s="26"/>
      <c r="V222" s="26"/>
      <c r="W222" s="26"/>
      <c r="X222" s="26"/>
      <c r="Y222" s="26"/>
      <c r="Z222" s="26"/>
      <c r="AA222" s="26"/>
      <c r="AB222" s="26"/>
      <c r="AC222" s="26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</row>
    <row r="223" spans="7:62" s="1" customFormat="1" ht="12.75" customHeight="1" x14ac:dyDescent="0.15">
      <c r="G223" s="7"/>
      <c r="H223" s="7"/>
      <c r="J223" s="7"/>
      <c r="K223" s="7"/>
      <c r="L223" s="7"/>
      <c r="N223" s="7"/>
      <c r="O223" s="7"/>
      <c r="U223" s="26"/>
      <c r="V223" s="26"/>
      <c r="W223" s="26"/>
      <c r="X223" s="26"/>
      <c r="Y223" s="26"/>
      <c r="Z223" s="26"/>
      <c r="AA223" s="26"/>
      <c r="AB223" s="26"/>
      <c r="AC223" s="26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</row>
    <row r="224" spans="7:62" s="1" customFormat="1" ht="12.75" customHeight="1" x14ac:dyDescent="0.15">
      <c r="G224" s="7"/>
      <c r="H224" s="7"/>
      <c r="J224" s="7"/>
      <c r="K224" s="7"/>
      <c r="L224" s="7"/>
      <c r="N224" s="7"/>
      <c r="O224" s="7"/>
      <c r="U224" s="26"/>
      <c r="V224" s="26"/>
      <c r="W224" s="26"/>
      <c r="X224" s="26"/>
      <c r="Y224" s="26"/>
      <c r="Z224" s="26"/>
      <c r="AA224" s="26"/>
      <c r="AB224" s="26"/>
      <c r="AC224" s="26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</row>
    <row r="225" spans="7:62" s="1" customFormat="1" ht="12.75" customHeight="1" x14ac:dyDescent="0.15">
      <c r="G225" s="7"/>
      <c r="H225" s="7"/>
      <c r="J225" s="7"/>
      <c r="K225" s="7"/>
      <c r="L225" s="7"/>
      <c r="N225" s="7"/>
      <c r="O225" s="7"/>
      <c r="U225" s="26"/>
      <c r="V225" s="26"/>
      <c r="W225" s="26"/>
      <c r="X225" s="26"/>
      <c r="Y225" s="26"/>
      <c r="Z225" s="26"/>
      <c r="AA225" s="26"/>
      <c r="AB225" s="26"/>
      <c r="AC225" s="26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</row>
    <row r="226" spans="7:62" s="1" customFormat="1" ht="12.75" customHeight="1" x14ac:dyDescent="0.15">
      <c r="G226" s="7"/>
      <c r="H226" s="7"/>
      <c r="J226" s="7"/>
      <c r="K226" s="7"/>
      <c r="L226" s="7"/>
      <c r="N226" s="7"/>
      <c r="O226" s="7"/>
      <c r="U226" s="26"/>
      <c r="V226" s="26"/>
      <c r="W226" s="26"/>
      <c r="X226" s="26"/>
      <c r="Y226" s="26"/>
      <c r="Z226" s="26"/>
      <c r="AA226" s="26"/>
      <c r="AB226" s="26"/>
      <c r="AC226" s="26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</row>
    <row r="227" spans="7:62" s="1" customFormat="1" ht="12.75" customHeight="1" x14ac:dyDescent="0.15">
      <c r="G227" s="7"/>
      <c r="H227" s="7"/>
      <c r="J227" s="7"/>
      <c r="K227" s="7"/>
      <c r="L227" s="7"/>
      <c r="N227" s="7"/>
      <c r="O227" s="7"/>
      <c r="U227" s="26"/>
      <c r="V227" s="26"/>
      <c r="W227" s="26"/>
      <c r="X227" s="26"/>
      <c r="Y227" s="26"/>
      <c r="Z227" s="26"/>
      <c r="AA227" s="26"/>
      <c r="AB227" s="26"/>
      <c r="AC227" s="26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</row>
    <row r="228" spans="7:62" s="1" customFormat="1" ht="12.75" customHeight="1" x14ac:dyDescent="0.15">
      <c r="G228" s="7"/>
      <c r="H228" s="7"/>
      <c r="J228" s="7"/>
      <c r="K228" s="7"/>
      <c r="L228" s="7"/>
      <c r="N228" s="7"/>
      <c r="O228" s="7"/>
      <c r="U228" s="26"/>
      <c r="V228" s="26"/>
      <c r="W228" s="26"/>
      <c r="X228" s="26"/>
      <c r="Y228" s="26"/>
      <c r="Z228" s="26"/>
      <c r="AA228" s="26"/>
      <c r="AB228" s="26"/>
      <c r="AC228" s="26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</row>
    <row r="229" spans="7:62" s="1" customFormat="1" ht="12.75" customHeight="1" x14ac:dyDescent="0.15">
      <c r="G229" s="7"/>
      <c r="H229" s="7"/>
      <c r="J229" s="7"/>
      <c r="K229" s="7"/>
      <c r="L229" s="7"/>
      <c r="N229" s="7"/>
      <c r="O229" s="7"/>
      <c r="U229" s="26"/>
      <c r="V229" s="26"/>
      <c r="W229" s="26"/>
      <c r="X229" s="26"/>
      <c r="Y229" s="26"/>
      <c r="Z229" s="26"/>
      <c r="AA229" s="26"/>
      <c r="AB229" s="26"/>
      <c r="AC229" s="26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</row>
    <row r="230" spans="7:62" s="1" customFormat="1" ht="12.75" customHeight="1" x14ac:dyDescent="0.15">
      <c r="G230" s="7"/>
      <c r="H230" s="7"/>
      <c r="J230" s="7"/>
      <c r="K230" s="7"/>
      <c r="L230" s="7"/>
      <c r="N230" s="7"/>
      <c r="O230" s="7"/>
      <c r="U230" s="26"/>
      <c r="V230" s="26"/>
      <c r="W230" s="26"/>
      <c r="X230" s="26"/>
      <c r="Y230" s="26"/>
      <c r="Z230" s="26"/>
      <c r="AA230" s="26"/>
      <c r="AB230" s="26"/>
      <c r="AC230" s="26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</row>
    <row r="231" spans="7:62" s="1" customFormat="1" ht="12.75" customHeight="1" x14ac:dyDescent="0.15">
      <c r="G231" s="7"/>
      <c r="H231" s="7"/>
      <c r="J231" s="7"/>
      <c r="K231" s="7"/>
      <c r="L231" s="7"/>
      <c r="N231" s="7"/>
      <c r="O231" s="7"/>
      <c r="U231" s="26"/>
      <c r="V231" s="26"/>
      <c r="W231" s="26"/>
      <c r="X231" s="26"/>
      <c r="Y231" s="26"/>
      <c r="Z231" s="26"/>
      <c r="AA231" s="26"/>
      <c r="AB231" s="26"/>
      <c r="AC231" s="26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</row>
    <row r="232" spans="7:62" s="1" customFormat="1" ht="12.75" customHeight="1" x14ac:dyDescent="0.15">
      <c r="G232" s="7"/>
      <c r="H232" s="7"/>
      <c r="J232" s="7"/>
      <c r="K232" s="7"/>
      <c r="L232" s="7"/>
      <c r="N232" s="7"/>
      <c r="O232" s="7"/>
      <c r="U232" s="26"/>
      <c r="V232" s="26"/>
      <c r="W232" s="26"/>
      <c r="X232" s="26"/>
      <c r="Y232" s="26"/>
      <c r="Z232" s="26"/>
      <c r="AA232" s="26"/>
      <c r="AB232" s="26"/>
      <c r="AC232" s="26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</row>
    <row r="233" spans="7:62" s="1" customFormat="1" ht="12.75" customHeight="1" x14ac:dyDescent="0.15">
      <c r="G233" s="7"/>
      <c r="H233" s="7"/>
      <c r="J233" s="7"/>
      <c r="K233" s="7"/>
      <c r="L233" s="7"/>
      <c r="N233" s="7"/>
      <c r="O233" s="7"/>
      <c r="U233" s="26"/>
      <c r="V233" s="26"/>
      <c r="W233" s="26"/>
      <c r="X233" s="26"/>
      <c r="Y233" s="26"/>
      <c r="Z233" s="26"/>
      <c r="AA233" s="26"/>
      <c r="AB233" s="26"/>
      <c r="AC233" s="26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</row>
    <row r="234" spans="7:62" s="1" customFormat="1" ht="12.75" customHeight="1" x14ac:dyDescent="0.15">
      <c r="G234" s="7"/>
      <c r="H234" s="7"/>
      <c r="J234" s="7"/>
      <c r="K234" s="7"/>
      <c r="L234" s="7"/>
      <c r="N234" s="7"/>
      <c r="O234" s="7"/>
      <c r="U234" s="26"/>
      <c r="V234" s="26"/>
      <c r="W234" s="26"/>
      <c r="X234" s="26"/>
      <c r="Y234" s="26"/>
      <c r="Z234" s="26"/>
      <c r="AA234" s="26"/>
      <c r="AB234" s="26"/>
      <c r="AC234" s="26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</row>
    <row r="235" spans="7:62" s="1" customFormat="1" ht="12.75" customHeight="1" x14ac:dyDescent="0.15">
      <c r="G235" s="7"/>
      <c r="H235" s="7"/>
      <c r="J235" s="7"/>
      <c r="K235" s="7"/>
      <c r="L235" s="7"/>
      <c r="N235" s="7"/>
      <c r="O235" s="7"/>
      <c r="U235" s="26"/>
      <c r="V235" s="26"/>
      <c r="W235" s="26"/>
      <c r="X235" s="26"/>
      <c r="Y235" s="26"/>
      <c r="Z235" s="26"/>
      <c r="AA235" s="26"/>
      <c r="AB235" s="26"/>
      <c r="AC235" s="26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</row>
    <row r="236" spans="7:62" s="1" customFormat="1" ht="12.75" customHeight="1" x14ac:dyDescent="0.15">
      <c r="G236" s="7"/>
      <c r="H236" s="7"/>
      <c r="J236" s="7"/>
      <c r="K236" s="7"/>
      <c r="L236" s="7"/>
      <c r="N236" s="7"/>
      <c r="O236" s="7"/>
      <c r="U236" s="26"/>
      <c r="V236" s="26"/>
      <c r="W236" s="26"/>
      <c r="X236" s="26"/>
      <c r="Y236" s="26"/>
      <c r="Z236" s="26"/>
      <c r="AA236" s="26"/>
      <c r="AB236" s="26"/>
      <c r="AC236" s="26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</row>
    <row r="237" spans="7:62" s="1" customFormat="1" ht="12.75" customHeight="1" x14ac:dyDescent="0.15">
      <c r="G237" s="7"/>
      <c r="H237" s="7"/>
      <c r="J237" s="7"/>
      <c r="K237" s="7"/>
      <c r="L237" s="7"/>
      <c r="N237" s="7"/>
      <c r="O237" s="7"/>
      <c r="U237" s="26"/>
      <c r="V237" s="26"/>
      <c r="W237" s="26"/>
      <c r="X237" s="26"/>
      <c r="Y237" s="26"/>
      <c r="Z237" s="26"/>
      <c r="AA237" s="26"/>
      <c r="AB237" s="26"/>
      <c r="AC237" s="26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</row>
    <row r="238" spans="7:62" s="1" customFormat="1" ht="12.75" customHeight="1" x14ac:dyDescent="0.15">
      <c r="G238" s="7"/>
      <c r="H238" s="7"/>
      <c r="J238" s="7"/>
      <c r="K238" s="7"/>
      <c r="L238" s="7"/>
      <c r="N238" s="7"/>
      <c r="O238" s="7"/>
      <c r="U238" s="26"/>
      <c r="V238" s="26"/>
      <c r="W238" s="26"/>
      <c r="X238" s="26"/>
      <c r="Y238" s="26"/>
      <c r="Z238" s="26"/>
      <c r="AA238" s="26"/>
      <c r="AB238" s="26"/>
      <c r="AC238" s="26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</row>
    <row r="239" spans="7:62" s="1" customFormat="1" ht="12.75" customHeight="1" x14ac:dyDescent="0.15">
      <c r="G239" s="7"/>
      <c r="H239" s="7"/>
      <c r="J239" s="7"/>
      <c r="K239" s="7"/>
      <c r="L239" s="7"/>
      <c r="N239" s="7"/>
      <c r="O239" s="7"/>
      <c r="U239" s="26"/>
      <c r="V239" s="26"/>
      <c r="W239" s="26"/>
      <c r="X239" s="26"/>
      <c r="Y239" s="26"/>
      <c r="Z239" s="26"/>
      <c r="AA239" s="26"/>
      <c r="AB239" s="26"/>
      <c r="AC239" s="26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</row>
    <row r="240" spans="7:62" s="1" customFormat="1" ht="12.75" customHeight="1" x14ac:dyDescent="0.15">
      <c r="G240" s="7"/>
      <c r="H240" s="7"/>
      <c r="J240" s="7"/>
      <c r="K240" s="7"/>
      <c r="L240" s="7"/>
      <c r="N240" s="7"/>
      <c r="O240" s="7"/>
      <c r="U240" s="26"/>
      <c r="V240" s="26"/>
      <c r="W240" s="26"/>
      <c r="X240" s="26"/>
      <c r="Y240" s="26"/>
      <c r="Z240" s="26"/>
      <c r="AA240" s="26"/>
      <c r="AB240" s="26"/>
      <c r="AC240" s="26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</row>
    <row r="241" spans="7:62" s="1" customFormat="1" ht="12.75" customHeight="1" x14ac:dyDescent="0.15">
      <c r="G241" s="7"/>
      <c r="H241" s="7"/>
      <c r="J241" s="7"/>
      <c r="K241" s="7"/>
      <c r="L241" s="7"/>
      <c r="N241" s="7"/>
      <c r="O241" s="7"/>
      <c r="U241" s="26"/>
      <c r="V241" s="26"/>
      <c r="W241" s="26"/>
      <c r="X241" s="26"/>
      <c r="Y241" s="26"/>
      <c r="Z241" s="26"/>
      <c r="AA241" s="26"/>
      <c r="AB241" s="26"/>
      <c r="AC241" s="26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</row>
    <row r="242" spans="7:62" s="1" customFormat="1" ht="12.75" customHeight="1" x14ac:dyDescent="0.15">
      <c r="G242" s="7"/>
      <c r="H242" s="7"/>
      <c r="J242" s="7"/>
      <c r="K242" s="7"/>
      <c r="L242" s="7"/>
      <c r="N242" s="7"/>
      <c r="O242" s="7"/>
      <c r="U242" s="26"/>
      <c r="V242" s="26"/>
      <c r="W242" s="26"/>
      <c r="X242" s="26"/>
      <c r="Y242" s="26"/>
      <c r="Z242" s="26"/>
      <c r="AA242" s="26"/>
      <c r="AB242" s="26"/>
      <c r="AC242" s="26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</row>
    <row r="243" spans="7:62" s="1" customFormat="1" ht="12.75" customHeight="1" x14ac:dyDescent="0.15">
      <c r="G243" s="7"/>
      <c r="H243" s="7"/>
      <c r="J243" s="7"/>
      <c r="K243" s="7"/>
      <c r="L243" s="7"/>
      <c r="N243" s="7"/>
      <c r="O243" s="7"/>
      <c r="U243" s="26"/>
      <c r="V243" s="26"/>
      <c r="W243" s="26"/>
      <c r="X243" s="26"/>
      <c r="Y243" s="26"/>
      <c r="Z243" s="26"/>
      <c r="AA243" s="26"/>
      <c r="AB243" s="26"/>
      <c r="AC243" s="26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</row>
    <row r="244" spans="7:62" s="1" customFormat="1" ht="12.75" customHeight="1" x14ac:dyDescent="0.15">
      <c r="G244" s="7"/>
      <c r="H244" s="7"/>
      <c r="J244" s="7"/>
      <c r="K244" s="7"/>
      <c r="L244" s="7"/>
      <c r="N244" s="7"/>
      <c r="O244" s="7"/>
      <c r="U244" s="26"/>
      <c r="V244" s="26"/>
      <c r="W244" s="26"/>
      <c r="X244" s="26"/>
      <c r="Y244" s="26"/>
      <c r="Z244" s="26"/>
      <c r="AA244" s="26"/>
      <c r="AB244" s="26"/>
      <c r="AC244" s="26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</row>
    <row r="245" spans="7:62" s="1" customFormat="1" ht="12.75" customHeight="1" x14ac:dyDescent="0.15">
      <c r="G245" s="7"/>
      <c r="H245" s="7"/>
      <c r="J245" s="7"/>
      <c r="K245" s="7"/>
      <c r="L245" s="7"/>
      <c r="N245" s="7"/>
      <c r="O245" s="7"/>
      <c r="U245" s="26"/>
      <c r="V245" s="26"/>
      <c r="W245" s="26"/>
      <c r="X245" s="26"/>
      <c r="Y245" s="26"/>
      <c r="Z245" s="26"/>
      <c r="AA245" s="26"/>
      <c r="AB245" s="26"/>
      <c r="AC245" s="26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</row>
    <row r="246" spans="7:62" s="1" customFormat="1" ht="12.75" customHeight="1" x14ac:dyDescent="0.15">
      <c r="G246" s="7"/>
      <c r="H246" s="7"/>
      <c r="J246" s="7"/>
      <c r="K246" s="7"/>
      <c r="L246" s="7"/>
      <c r="N246" s="7"/>
      <c r="O246" s="7"/>
      <c r="U246" s="26"/>
      <c r="V246" s="26"/>
      <c r="W246" s="26"/>
      <c r="X246" s="26"/>
      <c r="Y246" s="26"/>
      <c r="Z246" s="26"/>
      <c r="AA246" s="26"/>
      <c r="AB246" s="26"/>
      <c r="AC246" s="26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</row>
    <row r="247" spans="7:62" s="1" customFormat="1" ht="12.75" customHeight="1" x14ac:dyDescent="0.15">
      <c r="G247" s="7"/>
      <c r="H247" s="7"/>
      <c r="J247" s="7"/>
      <c r="K247" s="7"/>
      <c r="L247" s="7"/>
      <c r="N247" s="7"/>
      <c r="O247" s="7"/>
      <c r="U247" s="26"/>
      <c r="V247" s="26"/>
      <c r="W247" s="26"/>
      <c r="X247" s="26"/>
      <c r="Y247" s="26"/>
      <c r="Z247" s="26"/>
      <c r="AA247" s="26"/>
      <c r="AB247" s="26"/>
      <c r="AC247" s="26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</row>
    <row r="248" spans="7:62" s="1" customFormat="1" ht="12.75" customHeight="1" x14ac:dyDescent="0.15">
      <c r="G248" s="7"/>
      <c r="H248" s="7"/>
      <c r="J248" s="7"/>
      <c r="K248" s="7"/>
      <c r="L248" s="7"/>
      <c r="N248" s="7"/>
      <c r="O248" s="7"/>
      <c r="U248" s="26"/>
      <c r="V248" s="26"/>
      <c r="W248" s="26"/>
      <c r="X248" s="26"/>
      <c r="Y248" s="26"/>
      <c r="Z248" s="26"/>
      <c r="AA248" s="26"/>
      <c r="AB248" s="26"/>
      <c r="AC248" s="26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</row>
    <row r="249" spans="7:62" s="1" customFormat="1" ht="12.75" customHeight="1" x14ac:dyDescent="0.15">
      <c r="G249" s="7"/>
      <c r="H249" s="7"/>
      <c r="J249" s="7"/>
      <c r="K249" s="7"/>
      <c r="L249" s="7"/>
      <c r="N249" s="7"/>
      <c r="O249" s="7"/>
      <c r="U249" s="26"/>
      <c r="V249" s="26"/>
      <c r="W249" s="26"/>
      <c r="X249" s="26"/>
      <c r="Y249" s="26"/>
      <c r="Z249" s="26"/>
      <c r="AA249" s="26"/>
      <c r="AB249" s="26"/>
      <c r="AC249" s="26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</row>
    <row r="250" spans="7:62" s="1" customFormat="1" ht="12.75" customHeight="1" x14ac:dyDescent="0.15">
      <c r="G250" s="7"/>
      <c r="H250" s="7"/>
      <c r="J250" s="7"/>
      <c r="K250" s="7"/>
      <c r="L250" s="7"/>
      <c r="N250" s="7"/>
      <c r="O250" s="7"/>
      <c r="U250" s="26"/>
      <c r="V250" s="26"/>
      <c r="W250" s="26"/>
      <c r="X250" s="26"/>
      <c r="Y250" s="26"/>
      <c r="Z250" s="26"/>
      <c r="AA250" s="26"/>
      <c r="AB250" s="26"/>
      <c r="AC250" s="26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</row>
    <row r="251" spans="7:62" s="1" customFormat="1" ht="12.75" customHeight="1" x14ac:dyDescent="0.15">
      <c r="G251" s="7"/>
      <c r="H251" s="7"/>
      <c r="J251" s="7"/>
      <c r="K251" s="7"/>
      <c r="L251" s="7"/>
      <c r="N251" s="7"/>
      <c r="O251" s="7"/>
      <c r="U251" s="26"/>
      <c r="V251" s="26"/>
      <c r="W251" s="26"/>
      <c r="X251" s="26"/>
      <c r="Y251" s="26"/>
      <c r="Z251" s="26"/>
      <c r="AA251" s="26"/>
      <c r="AB251" s="26"/>
      <c r="AC251" s="26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</row>
    <row r="252" spans="7:62" s="1" customFormat="1" ht="12.75" customHeight="1" x14ac:dyDescent="0.15">
      <c r="G252" s="7"/>
      <c r="H252" s="7"/>
      <c r="J252" s="7"/>
      <c r="K252" s="7"/>
      <c r="L252" s="7"/>
      <c r="N252" s="7"/>
      <c r="O252" s="7"/>
      <c r="U252" s="26"/>
      <c r="V252" s="26"/>
      <c r="W252" s="26"/>
      <c r="X252" s="26"/>
      <c r="Y252" s="26"/>
      <c r="Z252" s="26"/>
      <c r="AA252" s="26"/>
      <c r="AB252" s="26"/>
      <c r="AC252" s="26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</row>
    <row r="253" spans="7:62" s="1" customFormat="1" ht="12.75" customHeight="1" x14ac:dyDescent="0.15">
      <c r="G253" s="7"/>
      <c r="H253" s="7"/>
      <c r="J253" s="7"/>
      <c r="K253" s="7"/>
      <c r="L253" s="7"/>
      <c r="N253" s="7"/>
      <c r="O253" s="7"/>
      <c r="U253" s="26"/>
      <c r="V253" s="26"/>
      <c r="W253" s="26"/>
      <c r="X253" s="26"/>
      <c r="Y253" s="26"/>
      <c r="Z253" s="26"/>
      <c r="AA253" s="26"/>
      <c r="AB253" s="26"/>
      <c r="AC253" s="26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</row>
    <row r="254" spans="7:62" s="1" customFormat="1" ht="12.75" customHeight="1" x14ac:dyDescent="0.15">
      <c r="G254" s="7"/>
      <c r="H254" s="7"/>
      <c r="J254" s="7"/>
      <c r="K254" s="7"/>
      <c r="L254" s="7"/>
      <c r="N254" s="7"/>
      <c r="O254" s="7"/>
      <c r="U254" s="26"/>
      <c r="V254" s="26"/>
      <c r="W254" s="26"/>
      <c r="X254" s="26"/>
      <c r="Y254" s="26"/>
      <c r="Z254" s="26"/>
      <c r="AA254" s="26"/>
      <c r="AB254" s="26"/>
      <c r="AC254" s="26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</row>
    <row r="255" spans="7:62" s="1" customFormat="1" ht="12.75" customHeight="1" x14ac:dyDescent="0.15">
      <c r="G255" s="7"/>
      <c r="H255" s="7"/>
      <c r="J255" s="7"/>
      <c r="K255" s="7"/>
      <c r="L255" s="7"/>
      <c r="N255" s="7"/>
      <c r="O255" s="7"/>
      <c r="U255" s="26"/>
      <c r="V255" s="26"/>
      <c r="W255" s="26"/>
      <c r="X255" s="26"/>
      <c r="Y255" s="26"/>
      <c r="Z255" s="26"/>
      <c r="AA255" s="26"/>
      <c r="AB255" s="26"/>
      <c r="AC255" s="26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</row>
    <row r="256" spans="7:62" s="1" customFormat="1" ht="12.75" customHeight="1" x14ac:dyDescent="0.15">
      <c r="G256" s="7"/>
      <c r="H256" s="7"/>
      <c r="J256" s="7"/>
      <c r="K256" s="7"/>
      <c r="L256" s="7"/>
      <c r="N256" s="7"/>
      <c r="O256" s="7"/>
      <c r="U256" s="26"/>
      <c r="V256" s="26"/>
      <c r="W256" s="26"/>
      <c r="X256" s="26"/>
      <c r="Y256" s="26"/>
      <c r="Z256" s="26"/>
      <c r="AA256" s="26"/>
      <c r="AB256" s="26"/>
      <c r="AC256" s="26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</row>
    <row r="257" spans="7:62" s="1" customFormat="1" ht="12.75" customHeight="1" x14ac:dyDescent="0.15">
      <c r="G257" s="7"/>
      <c r="H257" s="7"/>
      <c r="J257" s="7"/>
      <c r="K257" s="7"/>
      <c r="L257" s="7"/>
      <c r="N257" s="7"/>
      <c r="O257" s="7"/>
      <c r="U257" s="26"/>
      <c r="V257" s="26"/>
      <c r="W257" s="26"/>
      <c r="X257" s="26"/>
      <c r="Y257" s="26"/>
      <c r="Z257" s="26"/>
      <c r="AA257" s="26"/>
      <c r="AB257" s="26"/>
      <c r="AC257" s="26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</row>
    <row r="258" spans="7:62" s="1" customFormat="1" ht="12.75" customHeight="1" x14ac:dyDescent="0.15">
      <c r="G258" s="7"/>
      <c r="H258" s="7"/>
      <c r="J258" s="7"/>
      <c r="K258" s="7"/>
      <c r="L258" s="7"/>
      <c r="N258" s="7"/>
      <c r="O258" s="7"/>
      <c r="U258" s="26"/>
      <c r="V258" s="26"/>
      <c r="W258" s="26"/>
      <c r="X258" s="26"/>
      <c r="Y258" s="26"/>
      <c r="Z258" s="26"/>
      <c r="AA258" s="26"/>
      <c r="AB258" s="26"/>
      <c r="AC258" s="26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</row>
    <row r="259" spans="7:62" s="1" customFormat="1" ht="12.75" customHeight="1" x14ac:dyDescent="0.15">
      <c r="G259" s="7"/>
      <c r="H259" s="7"/>
      <c r="J259" s="7"/>
      <c r="K259" s="7"/>
      <c r="L259" s="7"/>
      <c r="N259" s="7"/>
      <c r="O259" s="7"/>
      <c r="U259" s="26"/>
      <c r="V259" s="26"/>
      <c r="W259" s="26"/>
      <c r="X259" s="26"/>
      <c r="Y259" s="26"/>
      <c r="Z259" s="26"/>
      <c r="AA259" s="26"/>
      <c r="AB259" s="26"/>
      <c r="AC259" s="26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</row>
    <row r="260" spans="7:62" s="1" customFormat="1" ht="12.75" customHeight="1" x14ac:dyDescent="0.15">
      <c r="G260" s="7"/>
      <c r="H260" s="7"/>
      <c r="J260" s="7"/>
      <c r="K260" s="7"/>
      <c r="L260" s="7"/>
      <c r="N260" s="7"/>
      <c r="O260" s="7"/>
      <c r="U260" s="26"/>
      <c r="V260" s="26"/>
      <c r="W260" s="26"/>
      <c r="X260" s="26"/>
      <c r="Y260" s="26"/>
      <c r="Z260" s="26"/>
      <c r="AA260" s="26"/>
      <c r="AB260" s="26"/>
      <c r="AC260" s="26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</row>
    <row r="261" spans="7:62" s="1" customFormat="1" ht="12.75" customHeight="1" x14ac:dyDescent="0.15">
      <c r="G261" s="7"/>
      <c r="H261" s="7"/>
      <c r="J261" s="7"/>
      <c r="K261" s="7"/>
      <c r="L261" s="7"/>
      <c r="N261" s="7"/>
      <c r="O261" s="7"/>
      <c r="U261" s="26"/>
      <c r="V261" s="26"/>
      <c r="W261" s="26"/>
      <c r="X261" s="26"/>
      <c r="Y261" s="26"/>
      <c r="Z261" s="26"/>
      <c r="AA261" s="26"/>
      <c r="AB261" s="26"/>
      <c r="AC261" s="26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</row>
    <row r="262" spans="7:62" s="1" customFormat="1" ht="12.75" customHeight="1" x14ac:dyDescent="0.15">
      <c r="G262" s="7"/>
      <c r="H262" s="7"/>
      <c r="J262" s="7"/>
      <c r="K262" s="7"/>
      <c r="L262" s="7"/>
      <c r="N262" s="7"/>
      <c r="O262" s="7"/>
      <c r="U262" s="26"/>
      <c r="V262" s="26"/>
      <c r="W262" s="26"/>
      <c r="X262" s="26"/>
      <c r="Y262" s="26"/>
      <c r="Z262" s="26"/>
      <c r="AA262" s="26"/>
      <c r="AB262" s="26"/>
      <c r="AC262" s="26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</row>
    <row r="263" spans="7:62" s="1" customFormat="1" ht="12.75" customHeight="1" x14ac:dyDescent="0.15">
      <c r="G263" s="7"/>
      <c r="H263" s="7"/>
      <c r="J263" s="7"/>
      <c r="K263" s="7"/>
      <c r="L263" s="7"/>
      <c r="N263" s="7"/>
      <c r="O263" s="7"/>
      <c r="U263" s="26"/>
      <c r="V263" s="26"/>
      <c r="W263" s="26"/>
      <c r="X263" s="26"/>
      <c r="Y263" s="26"/>
      <c r="Z263" s="26"/>
      <c r="AA263" s="26"/>
      <c r="AB263" s="26"/>
      <c r="AC263" s="26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</row>
    <row r="264" spans="7:62" s="1" customFormat="1" ht="12.75" customHeight="1" x14ac:dyDescent="0.15">
      <c r="G264" s="7"/>
      <c r="H264" s="7"/>
      <c r="J264" s="7"/>
      <c r="K264" s="7"/>
      <c r="L264" s="7"/>
      <c r="N264" s="7"/>
      <c r="O264" s="7"/>
      <c r="U264" s="26"/>
      <c r="V264" s="26"/>
      <c r="W264" s="26"/>
      <c r="X264" s="26"/>
      <c r="Y264" s="26"/>
      <c r="Z264" s="26"/>
      <c r="AA264" s="26"/>
      <c r="AB264" s="26"/>
      <c r="AC264" s="26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</row>
    <row r="265" spans="7:62" s="1" customFormat="1" ht="12.75" customHeight="1" x14ac:dyDescent="0.15">
      <c r="G265" s="7"/>
      <c r="H265" s="7"/>
      <c r="J265" s="7"/>
      <c r="K265" s="7"/>
      <c r="L265" s="7"/>
      <c r="N265" s="7"/>
      <c r="O265" s="7"/>
      <c r="U265" s="26"/>
      <c r="V265" s="26"/>
      <c r="W265" s="26"/>
      <c r="X265" s="26"/>
      <c r="Y265" s="26"/>
      <c r="Z265" s="26"/>
      <c r="AA265" s="26"/>
      <c r="AB265" s="26"/>
      <c r="AC265" s="26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</row>
    <row r="266" spans="7:62" s="1" customFormat="1" ht="12.75" customHeight="1" x14ac:dyDescent="0.15">
      <c r="G266" s="7"/>
      <c r="H266" s="7"/>
      <c r="J266" s="7"/>
      <c r="K266" s="7"/>
      <c r="L266" s="7"/>
      <c r="N266" s="7"/>
      <c r="O266" s="7"/>
      <c r="U266" s="26"/>
      <c r="V266" s="26"/>
      <c r="W266" s="26"/>
      <c r="X266" s="26"/>
      <c r="Y266" s="26"/>
      <c r="Z266" s="26"/>
      <c r="AA266" s="26"/>
      <c r="AB266" s="26"/>
      <c r="AC266" s="26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</row>
    <row r="267" spans="7:62" s="1" customFormat="1" ht="12.75" customHeight="1" x14ac:dyDescent="0.15">
      <c r="G267" s="7"/>
      <c r="H267" s="7"/>
      <c r="J267" s="7"/>
      <c r="K267" s="7"/>
      <c r="L267" s="7"/>
      <c r="N267" s="7"/>
      <c r="O267" s="7"/>
      <c r="U267" s="26"/>
      <c r="V267" s="26"/>
      <c r="W267" s="26"/>
      <c r="X267" s="26"/>
      <c r="Y267" s="26"/>
      <c r="Z267" s="26"/>
      <c r="AA267" s="26"/>
      <c r="AB267" s="26"/>
      <c r="AC267" s="26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</row>
    <row r="268" spans="7:62" s="1" customFormat="1" ht="12.75" customHeight="1" x14ac:dyDescent="0.15">
      <c r="G268" s="7"/>
      <c r="H268" s="7"/>
      <c r="J268" s="7"/>
      <c r="K268" s="7"/>
      <c r="L268" s="7"/>
      <c r="N268" s="7"/>
      <c r="O268" s="7"/>
      <c r="U268" s="26"/>
      <c r="V268" s="26"/>
      <c r="W268" s="26"/>
      <c r="X268" s="26"/>
      <c r="Y268" s="26"/>
      <c r="Z268" s="26"/>
      <c r="AA268" s="26"/>
      <c r="AB268" s="26"/>
      <c r="AC268" s="26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</row>
    <row r="269" spans="7:62" s="1" customFormat="1" ht="12.75" customHeight="1" x14ac:dyDescent="0.15">
      <c r="G269" s="7"/>
      <c r="H269" s="7"/>
      <c r="J269" s="7"/>
      <c r="K269" s="7"/>
      <c r="L269" s="7"/>
      <c r="N269" s="7"/>
      <c r="O269" s="7"/>
      <c r="U269" s="26"/>
      <c r="V269" s="26"/>
      <c r="W269" s="26"/>
      <c r="X269" s="26"/>
      <c r="Y269" s="26"/>
      <c r="Z269" s="26"/>
      <c r="AA269" s="26"/>
      <c r="AB269" s="26"/>
      <c r="AC269" s="26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</row>
    <row r="270" spans="7:62" s="1" customFormat="1" ht="12.75" customHeight="1" x14ac:dyDescent="0.15">
      <c r="G270" s="7"/>
      <c r="H270" s="7"/>
      <c r="J270" s="7"/>
      <c r="K270" s="7"/>
      <c r="L270" s="7"/>
      <c r="N270" s="7"/>
      <c r="O270" s="7"/>
      <c r="U270" s="26"/>
      <c r="V270" s="26"/>
      <c r="W270" s="26"/>
      <c r="X270" s="26"/>
      <c r="Y270" s="26"/>
      <c r="Z270" s="26"/>
      <c r="AA270" s="26"/>
      <c r="AB270" s="26"/>
      <c r="AC270" s="26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</row>
    <row r="271" spans="7:62" s="1" customFormat="1" ht="12.75" customHeight="1" x14ac:dyDescent="0.15">
      <c r="G271" s="7"/>
      <c r="H271" s="7"/>
      <c r="J271" s="7"/>
      <c r="K271" s="7"/>
      <c r="L271" s="7"/>
      <c r="N271" s="7"/>
      <c r="O271" s="7"/>
      <c r="U271" s="26"/>
      <c r="V271" s="26"/>
      <c r="W271" s="26"/>
      <c r="X271" s="26"/>
      <c r="Y271" s="26"/>
      <c r="Z271" s="26"/>
      <c r="AA271" s="26"/>
      <c r="AB271" s="26"/>
      <c r="AC271" s="26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</row>
    <row r="272" spans="7:62" s="1" customFormat="1" ht="12.75" customHeight="1" x14ac:dyDescent="0.15">
      <c r="G272" s="7"/>
      <c r="H272" s="7"/>
      <c r="J272" s="7"/>
      <c r="K272" s="7"/>
      <c r="L272" s="7"/>
      <c r="N272" s="7"/>
      <c r="O272" s="7"/>
      <c r="U272" s="26"/>
      <c r="V272" s="26"/>
      <c r="W272" s="26"/>
      <c r="X272" s="26"/>
      <c r="Y272" s="26"/>
      <c r="Z272" s="26"/>
      <c r="AA272" s="26"/>
      <c r="AB272" s="26"/>
      <c r="AC272" s="26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</row>
    <row r="273" spans="7:62" s="1" customFormat="1" ht="12.75" customHeight="1" x14ac:dyDescent="0.15">
      <c r="G273" s="7"/>
      <c r="H273" s="7"/>
      <c r="J273" s="7"/>
      <c r="K273" s="7"/>
      <c r="L273" s="7"/>
      <c r="N273" s="7"/>
      <c r="O273" s="7"/>
      <c r="U273" s="26"/>
      <c r="V273" s="26"/>
      <c r="W273" s="26"/>
      <c r="X273" s="26"/>
      <c r="Y273" s="26"/>
      <c r="Z273" s="26"/>
      <c r="AA273" s="26"/>
      <c r="AB273" s="26"/>
      <c r="AC273" s="26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</row>
    <row r="274" spans="7:62" s="1" customFormat="1" ht="12.75" customHeight="1" x14ac:dyDescent="0.15">
      <c r="G274" s="7"/>
      <c r="H274" s="7"/>
      <c r="J274" s="7"/>
      <c r="K274" s="7"/>
      <c r="L274" s="7"/>
      <c r="N274" s="7"/>
      <c r="O274" s="7"/>
      <c r="U274" s="26"/>
      <c r="V274" s="26"/>
      <c r="W274" s="26"/>
      <c r="X274" s="26"/>
      <c r="Y274" s="26"/>
      <c r="Z274" s="26"/>
      <c r="AA274" s="26"/>
      <c r="AB274" s="26"/>
      <c r="AC274" s="26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</row>
    <row r="275" spans="7:62" s="1" customFormat="1" ht="12.75" customHeight="1" x14ac:dyDescent="0.15">
      <c r="G275" s="7"/>
      <c r="H275" s="7"/>
      <c r="J275" s="7"/>
      <c r="K275" s="7"/>
      <c r="L275" s="7"/>
      <c r="N275" s="7"/>
      <c r="O275" s="7"/>
      <c r="U275" s="26"/>
      <c r="V275" s="26"/>
      <c r="W275" s="26"/>
      <c r="X275" s="26"/>
      <c r="Y275" s="26"/>
      <c r="Z275" s="26"/>
      <c r="AA275" s="26"/>
      <c r="AB275" s="26"/>
      <c r="AC275" s="26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</row>
    <row r="276" spans="7:62" s="1" customFormat="1" ht="12.75" customHeight="1" x14ac:dyDescent="0.15">
      <c r="G276" s="7"/>
      <c r="H276" s="7"/>
      <c r="J276" s="7"/>
      <c r="K276" s="7"/>
      <c r="L276" s="7"/>
      <c r="N276" s="7"/>
      <c r="O276" s="7"/>
      <c r="U276" s="26"/>
      <c r="V276" s="26"/>
      <c r="W276" s="26"/>
      <c r="X276" s="26"/>
      <c r="Y276" s="26"/>
      <c r="Z276" s="26"/>
      <c r="AA276" s="26"/>
      <c r="AB276" s="26"/>
      <c r="AC276" s="26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</row>
    <row r="277" spans="7:62" s="1" customFormat="1" ht="12.75" customHeight="1" x14ac:dyDescent="0.15">
      <c r="G277" s="7"/>
      <c r="H277" s="7"/>
      <c r="J277" s="7"/>
      <c r="K277" s="7"/>
      <c r="L277" s="7"/>
      <c r="N277" s="7"/>
      <c r="O277" s="7"/>
      <c r="U277" s="26"/>
      <c r="V277" s="26"/>
      <c r="W277" s="26"/>
      <c r="X277" s="26"/>
      <c r="Y277" s="26"/>
      <c r="Z277" s="26"/>
      <c r="AA277" s="26"/>
      <c r="AB277" s="26"/>
      <c r="AC277" s="26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</row>
    <row r="278" spans="7:62" s="1" customFormat="1" ht="12.75" customHeight="1" x14ac:dyDescent="0.15">
      <c r="G278" s="7"/>
      <c r="H278" s="7"/>
      <c r="J278" s="7"/>
      <c r="K278" s="7"/>
      <c r="L278" s="7"/>
      <c r="N278" s="7"/>
      <c r="O278" s="7"/>
      <c r="U278" s="26"/>
      <c r="V278" s="26"/>
      <c r="W278" s="26"/>
      <c r="X278" s="26"/>
      <c r="Y278" s="26"/>
      <c r="Z278" s="26"/>
      <c r="AA278" s="26"/>
      <c r="AB278" s="26"/>
      <c r="AC278" s="26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</row>
    <row r="279" spans="7:62" s="1" customFormat="1" ht="12.75" customHeight="1" x14ac:dyDescent="0.15">
      <c r="G279" s="7"/>
      <c r="H279" s="7"/>
      <c r="J279" s="7"/>
      <c r="K279" s="7"/>
      <c r="L279" s="7"/>
      <c r="N279" s="7"/>
      <c r="O279" s="7"/>
      <c r="U279" s="26"/>
      <c r="V279" s="26"/>
      <c r="W279" s="26"/>
      <c r="X279" s="26"/>
      <c r="Y279" s="26"/>
      <c r="Z279" s="26"/>
      <c r="AA279" s="26"/>
      <c r="AB279" s="26"/>
      <c r="AC279" s="26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</row>
    <row r="280" spans="7:62" s="1" customFormat="1" ht="12.75" customHeight="1" x14ac:dyDescent="0.15">
      <c r="G280" s="7"/>
      <c r="H280" s="7"/>
      <c r="J280" s="7"/>
      <c r="K280" s="7"/>
      <c r="L280" s="7"/>
      <c r="N280" s="7"/>
      <c r="O280" s="7"/>
      <c r="U280" s="26"/>
      <c r="V280" s="26"/>
      <c r="W280" s="26"/>
      <c r="X280" s="26"/>
      <c r="Y280" s="26"/>
      <c r="Z280" s="26"/>
      <c r="AA280" s="26"/>
      <c r="AB280" s="26"/>
      <c r="AC280" s="26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</row>
    <row r="281" spans="7:62" s="1" customFormat="1" ht="12.75" customHeight="1" x14ac:dyDescent="0.15">
      <c r="G281" s="7"/>
      <c r="H281" s="7"/>
      <c r="J281" s="7"/>
      <c r="K281" s="7"/>
      <c r="L281" s="7"/>
      <c r="N281" s="7"/>
      <c r="O281" s="7"/>
      <c r="U281" s="26"/>
      <c r="V281" s="26"/>
      <c r="W281" s="26"/>
      <c r="X281" s="26"/>
      <c r="Y281" s="26"/>
      <c r="Z281" s="26"/>
      <c r="AA281" s="26"/>
      <c r="AB281" s="26"/>
      <c r="AC281" s="26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</row>
    <row r="282" spans="7:62" s="1" customFormat="1" ht="12.75" customHeight="1" x14ac:dyDescent="0.15">
      <c r="G282" s="7"/>
      <c r="H282" s="7"/>
      <c r="J282" s="7"/>
      <c r="K282" s="7"/>
      <c r="L282" s="7"/>
      <c r="N282" s="7"/>
      <c r="O282" s="7"/>
      <c r="U282" s="26"/>
      <c r="V282" s="26"/>
      <c r="W282" s="26"/>
      <c r="X282" s="26"/>
      <c r="Y282" s="26"/>
      <c r="Z282" s="26"/>
      <c r="AA282" s="26"/>
      <c r="AB282" s="26"/>
      <c r="AC282" s="26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</row>
    <row r="283" spans="7:62" s="1" customFormat="1" ht="12.75" customHeight="1" x14ac:dyDescent="0.15">
      <c r="G283" s="7"/>
      <c r="H283" s="7"/>
      <c r="J283" s="7"/>
      <c r="K283" s="7"/>
      <c r="L283" s="7"/>
      <c r="N283" s="7"/>
      <c r="O283" s="7"/>
      <c r="U283" s="26"/>
      <c r="V283" s="26"/>
      <c r="W283" s="26"/>
      <c r="X283" s="26"/>
      <c r="Y283" s="26"/>
      <c r="Z283" s="26"/>
      <c r="AA283" s="26"/>
      <c r="AB283" s="26"/>
      <c r="AC283" s="26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</row>
    <row r="284" spans="7:62" s="1" customFormat="1" ht="12.75" customHeight="1" x14ac:dyDescent="0.15">
      <c r="G284" s="7"/>
      <c r="H284" s="7"/>
      <c r="J284" s="7"/>
      <c r="K284" s="7"/>
      <c r="L284" s="7"/>
      <c r="N284" s="7"/>
      <c r="O284" s="7"/>
      <c r="U284" s="26"/>
      <c r="V284" s="26"/>
      <c r="W284" s="26"/>
      <c r="X284" s="26"/>
      <c r="Y284" s="26"/>
      <c r="Z284" s="26"/>
      <c r="AA284" s="26"/>
      <c r="AB284" s="26"/>
      <c r="AC284" s="26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</row>
    <row r="285" spans="7:62" s="1" customFormat="1" ht="12.75" customHeight="1" x14ac:dyDescent="0.15">
      <c r="G285" s="7"/>
      <c r="H285" s="7"/>
      <c r="J285" s="7"/>
      <c r="K285" s="7"/>
      <c r="L285" s="7"/>
      <c r="N285" s="7"/>
      <c r="O285" s="7"/>
      <c r="U285" s="26"/>
      <c r="V285" s="26"/>
      <c r="W285" s="26"/>
      <c r="X285" s="26"/>
      <c r="Y285" s="26"/>
      <c r="Z285" s="26"/>
      <c r="AA285" s="26"/>
      <c r="AB285" s="26"/>
      <c r="AC285" s="26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</row>
    <row r="286" spans="7:62" s="1" customFormat="1" ht="12.75" customHeight="1" x14ac:dyDescent="0.15">
      <c r="G286" s="7"/>
      <c r="H286" s="7"/>
      <c r="J286" s="7"/>
      <c r="K286" s="7"/>
      <c r="L286" s="7"/>
      <c r="N286" s="7"/>
      <c r="O286" s="7"/>
      <c r="U286" s="26"/>
      <c r="V286" s="26"/>
      <c r="W286" s="26"/>
      <c r="X286" s="26"/>
      <c r="Y286" s="26"/>
      <c r="Z286" s="26"/>
      <c r="AA286" s="26"/>
      <c r="AB286" s="26"/>
      <c r="AC286" s="26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</row>
    <row r="287" spans="7:62" s="1" customFormat="1" ht="12.75" customHeight="1" x14ac:dyDescent="0.15">
      <c r="G287" s="7"/>
      <c r="H287" s="7"/>
      <c r="J287" s="7"/>
      <c r="K287" s="7"/>
      <c r="L287" s="7"/>
      <c r="N287" s="7"/>
      <c r="O287" s="7"/>
      <c r="U287" s="26"/>
      <c r="V287" s="26"/>
      <c r="W287" s="26"/>
      <c r="X287" s="26"/>
      <c r="Y287" s="26"/>
      <c r="Z287" s="26"/>
      <c r="AA287" s="26"/>
      <c r="AB287" s="26"/>
      <c r="AC287" s="26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</row>
    <row r="288" spans="7:62" s="1" customFormat="1" ht="12.75" customHeight="1" x14ac:dyDescent="0.15">
      <c r="G288" s="7"/>
      <c r="H288" s="7"/>
      <c r="J288" s="7"/>
      <c r="K288" s="7"/>
      <c r="L288" s="7"/>
      <c r="N288" s="7"/>
      <c r="O288" s="7"/>
      <c r="U288" s="26"/>
      <c r="V288" s="26"/>
      <c r="W288" s="26"/>
      <c r="X288" s="26"/>
      <c r="Y288" s="26"/>
      <c r="Z288" s="26"/>
      <c r="AA288" s="26"/>
      <c r="AB288" s="26"/>
      <c r="AC288" s="26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</row>
    <row r="289" spans="7:62" s="1" customFormat="1" ht="12.75" customHeight="1" x14ac:dyDescent="0.15">
      <c r="G289" s="7"/>
      <c r="H289" s="7"/>
      <c r="J289" s="7"/>
      <c r="K289" s="7"/>
      <c r="L289" s="7"/>
      <c r="N289" s="7"/>
      <c r="O289" s="7"/>
      <c r="U289" s="26"/>
      <c r="V289" s="26"/>
      <c r="W289" s="26"/>
      <c r="X289" s="26"/>
      <c r="Y289" s="26"/>
      <c r="Z289" s="26"/>
      <c r="AA289" s="26"/>
      <c r="AB289" s="26"/>
      <c r="AC289" s="26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</row>
    <row r="290" spans="7:62" s="1" customFormat="1" ht="12.75" customHeight="1" x14ac:dyDescent="0.15">
      <c r="G290" s="7"/>
      <c r="H290" s="7"/>
      <c r="J290" s="7"/>
      <c r="K290" s="7"/>
      <c r="L290" s="7"/>
      <c r="N290" s="7"/>
      <c r="O290" s="7"/>
      <c r="U290" s="26"/>
      <c r="V290" s="26"/>
      <c r="W290" s="26"/>
      <c r="X290" s="26"/>
      <c r="Y290" s="26"/>
      <c r="Z290" s="26"/>
      <c r="AA290" s="26"/>
      <c r="AB290" s="26"/>
      <c r="AC290" s="26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</row>
    <row r="291" spans="7:62" s="1" customFormat="1" ht="12.75" customHeight="1" x14ac:dyDescent="0.15">
      <c r="G291" s="7"/>
      <c r="H291" s="7"/>
      <c r="J291" s="7"/>
      <c r="K291" s="7"/>
      <c r="L291" s="7"/>
      <c r="N291" s="7"/>
      <c r="O291" s="7"/>
      <c r="U291" s="26"/>
      <c r="V291" s="26"/>
      <c r="W291" s="26"/>
      <c r="X291" s="26"/>
      <c r="Y291" s="26"/>
      <c r="Z291" s="26"/>
      <c r="AA291" s="26"/>
      <c r="AB291" s="26"/>
      <c r="AC291" s="26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</row>
    <row r="292" spans="7:62" s="1" customFormat="1" ht="12.75" customHeight="1" x14ac:dyDescent="0.15">
      <c r="G292" s="7"/>
      <c r="H292" s="7"/>
      <c r="J292" s="7"/>
      <c r="K292" s="7"/>
      <c r="L292" s="7"/>
      <c r="N292" s="7"/>
      <c r="O292" s="7"/>
      <c r="U292" s="26"/>
      <c r="V292" s="26"/>
      <c r="W292" s="26"/>
      <c r="X292" s="26"/>
      <c r="Y292" s="26"/>
      <c r="Z292" s="26"/>
      <c r="AA292" s="26"/>
      <c r="AB292" s="26"/>
      <c r="AC292" s="26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</row>
    <row r="293" spans="7:62" s="1" customFormat="1" ht="12.75" customHeight="1" x14ac:dyDescent="0.15">
      <c r="G293" s="7"/>
      <c r="H293" s="7"/>
      <c r="J293" s="7"/>
      <c r="K293" s="7"/>
      <c r="L293" s="7"/>
      <c r="N293" s="7"/>
      <c r="O293" s="7"/>
      <c r="U293" s="26"/>
      <c r="V293" s="26"/>
      <c r="W293" s="26"/>
      <c r="X293" s="26"/>
      <c r="Y293" s="26"/>
      <c r="Z293" s="26"/>
      <c r="AA293" s="26"/>
      <c r="AB293" s="26"/>
      <c r="AC293" s="26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</row>
    <row r="294" spans="7:62" s="1" customFormat="1" ht="12.75" customHeight="1" x14ac:dyDescent="0.15">
      <c r="G294" s="7"/>
      <c r="H294" s="7"/>
      <c r="J294" s="7"/>
      <c r="K294" s="7"/>
      <c r="L294" s="7"/>
      <c r="N294" s="7"/>
      <c r="O294" s="7"/>
      <c r="U294" s="26"/>
      <c r="V294" s="26"/>
      <c r="W294" s="26"/>
      <c r="X294" s="26"/>
      <c r="Y294" s="26"/>
      <c r="Z294" s="26"/>
      <c r="AA294" s="26"/>
      <c r="AB294" s="26"/>
      <c r="AC294" s="26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</row>
    <row r="295" spans="7:62" s="1" customFormat="1" ht="12.75" customHeight="1" x14ac:dyDescent="0.15">
      <c r="G295" s="7"/>
      <c r="H295" s="7"/>
      <c r="J295" s="7"/>
      <c r="K295" s="7"/>
      <c r="L295" s="7"/>
      <c r="N295" s="7"/>
      <c r="O295" s="7"/>
      <c r="U295" s="26"/>
      <c r="V295" s="26"/>
      <c r="W295" s="26"/>
      <c r="X295" s="26"/>
      <c r="Y295" s="26"/>
      <c r="Z295" s="26"/>
      <c r="AA295" s="26"/>
      <c r="AB295" s="26"/>
      <c r="AC295" s="26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</row>
    <row r="296" spans="7:62" s="1" customFormat="1" ht="12.75" customHeight="1" x14ac:dyDescent="0.15">
      <c r="G296" s="7"/>
      <c r="H296" s="7"/>
      <c r="J296" s="7"/>
      <c r="K296" s="7"/>
      <c r="L296" s="7"/>
      <c r="N296" s="7"/>
      <c r="O296" s="7"/>
      <c r="U296" s="26"/>
      <c r="V296" s="26"/>
      <c r="W296" s="26"/>
      <c r="X296" s="26"/>
      <c r="Y296" s="26"/>
      <c r="Z296" s="26"/>
      <c r="AA296" s="26"/>
      <c r="AB296" s="26"/>
      <c r="AC296" s="26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</row>
    <row r="297" spans="7:62" s="1" customFormat="1" ht="12.75" customHeight="1" x14ac:dyDescent="0.15">
      <c r="G297" s="7"/>
      <c r="H297" s="7"/>
      <c r="J297" s="7"/>
      <c r="K297" s="7"/>
      <c r="L297" s="7"/>
      <c r="N297" s="7"/>
      <c r="O297" s="7"/>
      <c r="U297" s="26"/>
      <c r="V297" s="26"/>
      <c r="W297" s="26"/>
      <c r="X297" s="26"/>
      <c r="Y297" s="26"/>
      <c r="Z297" s="26"/>
      <c r="AA297" s="26"/>
      <c r="AB297" s="26"/>
      <c r="AC297" s="26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</row>
    <row r="298" spans="7:62" s="1" customFormat="1" ht="12.75" customHeight="1" x14ac:dyDescent="0.15">
      <c r="G298" s="7"/>
      <c r="H298" s="7"/>
      <c r="J298" s="7"/>
      <c r="K298" s="7"/>
      <c r="L298" s="7"/>
      <c r="N298" s="7"/>
      <c r="O298" s="7"/>
      <c r="U298" s="26"/>
      <c r="V298" s="26"/>
      <c r="W298" s="26"/>
      <c r="X298" s="26"/>
      <c r="Y298" s="26"/>
      <c r="Z298" s="26"/>
      <c r="AA298" s="26"/>
      <c r="AB298" s="26"/>
      <c r="AC298" s="26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</row>
    <row r="299" spans="7:62" s="1" customFormat="1" ht="12.75" customHeight="1" x14ac:dyDescent="0.15">
      <c r="G299" s="7"/>
      <c r="H299" s="7"/>
      <c r="J299" s="7"/>
      <c r="K299" s="7"/>
      <c r="L299" s="7"/>
      <c r="N299" s="7"/>
      <c r="O299" s="7"/>
      <c r="U299" s="26"/>
      <c r="V299" s="26"/>
      <c r="W299" s="26"/>
      <c r="X299" s="26"/>
      <c r="Y299" s="26"/>
      <c r="Z299" s="26"/>
      <c r="AA299" s="26"/>
      <c r="AB299" s="26"/>
      <c r="AC299" s="26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</row>
    <row r="300" spans="7:62" s="1" customFormat="1" ht="12.75" customHeight="1" x14ac:dyDescent="0.15">
      <c r="G300" s="7"/>
      <c r="H300" s="7"/>
      <c r="J300" s="7"/>
      <c r="K300" s="7"/>
      <c r="L300" s="7"/>
      <c r="N300" s="7"/>
      <c r="O300" s="7"/>
      <c r="U300" s="26"/>
      <c r="V300" s="26"/>
      <c r="W300" s="26"/>
      <c r="X300" s="26"/>
      <c r="Y300" s="26"/>
      <c r="Z300" s="26"/>
      <c r="AA300" s="26"/>
      <c r="AB300" s="26"/>
      <c r="AC300" s="26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</row>
    <row r="301" spans="7:62" s="1" customFormat="1" ht="12.75" customHeight="1" x14ac:dyDescent="0.15">
      <c r="G301" s="7"/>
      <c r="H301" s="7"/>
      <c r="J301" s="7"/>
      <c r="K301" s="7"/>
      <c r="L301" s="7"/>
      <c r="N301" s="7"/>
      <c r="O301" s="7"/>
      <c r="U301" s="26"/>
      <c r="V301" s="26"/>
      <c r="W301" s="26"/>
      <c r="X301" s="26"/>
      <c r="Y301" s="26"/>
      <c r="Z301" s="26"/>
      <c r="AA301" s="26"/>
      <c r="AB301" s="26"/>
      <c r="AC301" s="26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</row>
    <row r="302" spans="7:62" s="1" customFormat="1" ht="12.75" customHeight="1" x14ac:dyDescent="0.15">
      <c r="G302" s="7"/>
      <c r="H302" s="7"/>
      <c r="J302" s="7"/>
      <c r="K302" s="7"/>
      <c r="L302" s="7"/>
      <c r="N302" s="7"/>
      <c r="O302" s="7"/>
      <c r="U302" s="26"/>
      <c r="V302" s="26"/>
      <c r="W302" s="26"/>
      <c r="X302" s="26"/>
      <c r="Y302" s="26"/>
      <c r="Z302" s="26"/>
      <c r="AA302" s="26"/>
      <c r="AB302" s="26"/>
      <c r="AC302" s="26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</row>
    <row r="303" spans="7:62" s="1" customFormat="1" ht="12.75" customHeight="1" x14ac:dyDescent="0.15">
      <c r="G303" s="7"/>
      <c r="H303" s="7"/>
      <c r="J303" s="7"/>
      <c r="K303" s="7"/>
      <c r="L303" s="7"/>
      <c r="N303" s="7"/>
      <c r="O303" s="7"/>
      <c r="U303" s="26"/>
      <c r="V303" s="26"/>
      <c r="W303" s="26"/>
      <c r="X303" s="26"/>
      <c r="Y303" s="26"/>
      <c r="Z303" s="26"/>
      <c r="AA303" s="26"/>
      <c r="AB303" s="26"/>
      <c r="AC303" s="26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</row>
    <row r="304" spans="7:62" s="1" customFormat="1" ht="12.75" customHeight="1" x14ac:dyDescent="0.15">
      <c r="G304" s="7"/>
      <c r="H304" s="7"/>
      <c r="J304" s="7"/>
      <c r="K304" s="7"/>
      <c r="L304" s="7"/>
      <c r="N304" s="7"/>
      <c r="O304" s="7"/>
      <c r="U304" s="26"/>
      <c r="V304" s="26"/>
      <c r="W304" s="26"/>
      <c r="X304" s="26"/>
      <c r="Y304" s="26"/>
      <c r="Z304" s="26"/>
      <c r="AA304" s="26"/>
      <c r="AB304" s="26"/>
      <c r="AC304" s="26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</row>
    <row r="305" spans="7:62" s="1" customFormat="1" ht="12.75" customHeight="1" x14ac:dyDescent="0.15">
      <c r="G305" s="7"/>
      <c r="H305" s="7"/>
      <c r="J305" s="7"/>
      <c r="K305" s="7"/>
      <c r="L305" s="7"/>
      <c r="N305" s="7"/>
      <c r="O305" s="7"/>
      <c r="U305" s="26"/>
      <c r="V305" s="26"/>
      <c r="W305" s="26"/>
      <c r="X305" s="26"/>
      <c r="Y305" s="26"/>
      <c r="Z305" s="26"/>
      <c r="AA305" s="26"/>
      <c r="AB305" s="26"/>
      <c r="AC305" s="26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</row>
    <row r="306" spans="7:62" s="1" customFormat="1" ht="12.75" customHeight="1" x14ac:dyDescent="0.15">
      <c r="G306" s="7"/>
      <c r="H306" s="7"/>
      <c r="J306" s="7"/>
      <c r="K306" s="7"/>
      <c r="L306" s="7"/>
      <c r="N306" s="7"/>
      <c r="O306" s="7"/>
      <c r="U306" s="26"/>
      <c r="V306" s="26"/>
      <c r="W306" s="26"/>
      <c r="X306" s="26"/>
      <c r="Y306" s="26"/>
      <c r="Z306" s="26"/>
      <c r="AA306" s="26"/>
      <c r="AB306" s="26"/>
      <c r="AC306" s="26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</row>
    <row r="307" spans="7:62" s="1" customFormat="1" ht="12.75" customHeight="1" x14ac:dyDescent="0.15">
      <c r="G307" s="7"/>
      <c r="H307" s="7"/>
      <c r="J307" s="7"/>
      <c r="K307" s="7"/>
      <c r="L307" s="7"/>
      <c r="N307" s="7"/>
      <c r="O307" s="7"/>
      <c r="U307" s="26"/>
      <c r="V307" s="26"/>
      <c r="W307" s="26"/>
      <c r="X307" s="26"/>
      <c r="Y307" s="26"/>
      <c r="Z307" s="26"/>
      <c r="AA307" s="26"/>
      <c r="AB307" s="26"/>
      <c r="AC307" s="26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</row>
    <row r="308" spans="7:62" s="1" customFormat="1" ht="12.75" customHeight="1" x14ac:dyDescent="0.15">
      <c r="G308" s="7"/>
      <c r="H308" s="7"/>
      <c r="J308" s="7"/>
      <c r="K308" s="7"/>
      <c r="L308" s="7"/>
      <c r="N308" s="7"/>
      <c r="O308" s="7"/>
      <c r="U308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</row>
    <row r="309" spans="7:62" s="1" customFormat="1" ht="12.75" customHeight="1" x14ac:dyDescent="0.15">
      <c r="G309" s="7"/>
      <c r="H309" s="7"/>
      <c r="J309" s="7"/>
      <c r="K309" s="7"/>
      <c r="L309" s="7"/>
      <c r="N309" s="7"/>
      <c r="O309" s="7"/>
      <c r="U309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</row>
    <row r="310" spans="7:62" s="1" customFormat="1" ht="12.75" customHeight="1" x14ac:dyDescent="0.15">
      <c r="G310" s="7"/>
      <c r="H310" s="7"/>
      <c r="J310" s="7"/>
      <c r="K310" s="7"/>
      <c r="L310" s="7"/>
      <c r="N310" s="7"/>
      <c r="O310" s="7"/>
      <c r="U310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</row>
    <row r="311" spans="7:62" s="1" customFormat="1" ht="12.75" customHeight="1" x14ac:dyDescent="0.15">
      <c r="G311" s="7"/>
      <c r="H311" s="7"/>
      <c r="J311" s="7"/>
      <c r="K311" s="7"/>
      <c r="L311" s="7"/>
      <c r="N311" s="7"/>
      <c r="O311" s="7"/>
      <c r="U311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</row>
  </sheetData>
  <protectedRanges>
    <protectedRange sqref="G6" name="Nozzle"/>
    <protectedRange sqref="F16" name="Orifice"/>
    <protectedRange sqref="I16" name="Angle"/>
    <protectedRange sqref="M16" name="Pressure"/>
    <protectedRange sqref="P16" name="Airspeed"/>
  </protectedRanges>
  <customSheetViews>
    <customSheetView guid="{CD17FB03-8870-11D2-8172-00C04FC29620}" fitToPage="1" showRuler="0">
      <selection activeCell="D11" sqref="D11"/>
      <pageMargins left="0.7" right="0.7" top="0.75" bottom="0.75" header="0.3" footer="0.3"/>
      <pageSetup scale="37" orientation="landscape" verticalDpi="300" copies="0"/>
      <headerFooter alignWithMargins="0"/>
    </customSheetView>
  </customSheetViews>
  <mergeCells count="11">
    <mergeCell ref="G3:N4"/>
    <mergeCell ref="C14:D15"/>
    <mergeCell ref="G6:P6"/>
    <mergeCell ref="C5:F6"/>
    <mergeCell ref="C9:S9"/>
    <mergeCell ref="D34:R34"/>
    <mergeCell ref="G20:S20"/>
    <mergeCell ref="G19:S19"/>
    <mergeCell ref="G21:S21"/>
    <mergeCell ref="C12:S12"/>
    <mergeCell ref="C31:S33"/>
  </mergeCells>
  <phoneticPr fontId="0" type="noConversion"/>
  <dataValidations count="1">
    <dataValidation type="list" allowBlank="1" showInputMessage="1" showErrorMessage="1" sqref="V21">
      <formula1>$V$16:$V$22</formula1>
    </dataValidation>
  </dataValidations>
  <printOptions horizontalCentered="1" verticalCentered="1"/>
  <pageMargins left="0.7" right="0.7" top="0.75" bottom="0.75" header="0.3" footer="0.3"/>
  <pageSetup scale="70" orientation="portrait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'Model Parameters'!$A$2:$A$16</xm:f>
          </x14:formula1>
          <xm:sqref>G6:P6</xm:sqref>
        </x14:dataValidation>
        <x14:dataValidation type="list" allowBlank="1" showInputMessage="1" showErrorMessage="1">
          <x14:formula1>
            <xm:f>'Model Parameters'!$P$14:$P$27</xm:f>
          </x14:formula1>
          <xm:sqref>F16</xm:sqref>
        </x14:dataValidation>
        <x14:dataValidation type="list" allowBlank="1" showInputMessage="1" showErrorMessage="1">
          <x14:formula1>
            <xm:f>'Model Parameters'!$S$14:$S$23</xm:f>
          </x14:formula1>
          <xm:sqref>I16</xm:sqref>
        </x14:dataValidation>
        <x14:dataValidation type="list" allowBlank="1" showInputMessage="1" showErrorMessage="1">
          <x14:formula1>
            <xm:f>'Model Parameters'!$Q$14:$Q$28</xm:f>
          </x14:formula1>
          <xm:sqref>P16</xm:sqref>
        </x14:dataValidation>
        <x14:dataValidation type="list" allowBlank="1" showInputMessage="1" showErrorMessage="1">
          <x14:formula1>
            <xm:f>'Model Parameters'!$R$14:$R$26</xm:f>
          </x14:formula1>
          <xm:sqref>M16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AC1048576"/>
  <sheetViews>
    <sheetView workbookViewId="0">
      <selection activeCell="B179" sqref="B179:P179"/>
    </sheetView>
  </sheetViews>
  <sheetFormatPr baseColWidth="10" defaultColWidth="8.83203125" defaultRowHeight="13" x14ac:dyDescent="0.15"/>
  <cols>
    <col min="1" max="1" width="39" customWidth="1"/>
    <col min="2" max="2" width="19" customWidth="1"/>
    <col min="3" max="3" width="12.33203125" customWidth="1"/>
    <col min="4" max="4" width="11.33203125" customWidth="1"/>
    <col min="18" max="18" width="19.1640625" customWidth="1"/>
    <col min="19" max="19" width="15" bestFit="1" customWidth="1"/>
    <col min="22" max="22" width="5.83203125" customWidth="1"/>
    <col min="23" max="23" width="17.83203125" customWidth="1"/>
  </cols>
  <sheetData>
    <row r="1" spans="1:19" ht="14" x14ac:dyDescent="0.15">
      <c r="A1" s="134" t="s">
        <v>21</v>
      </c>
      <c r="B1" s="134" t="s">
        <v>23</v>
      </c>
      <c r="D1" s="244" t="s">
        <v>24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</row>
    <row r="2" spans="1:19" ht="15" thickBot="1" x14ac:dyDescent="0.25">
      <c r="A2" s="183" t="s">
        <v>88</v>
      </c>
      <c r="B2" s="183" t="s">
        <v>124</v>
      </c>
      <c r="D2" s="245" t="s">
        <v>27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19" ht="14" thickBot="1" x14ac:dyDescent="0.2">
      <c r="A3" s="134" t="s">
        <v>91</v>
      </c>
      <c r="B3" s="183" t="s">
        <v>124</v>
      </c>
      <c r="D3" s="45"/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>
        <v>11</v>
      </c>
      <c r="O3" s="13">
        <v>12</v>
      </c>
      <c r="P3" s="13">
        <v>13</v>
      </c>
      <c r="Q3" s="13">
        <v>14</v>
      </c>
      <c r="R3" s="13">
        <v>15</v>
      </c>
      <c r="S3" s="14">
        <v>16</v>
      </c>
    </row>
    <row r="4" spans="1:19" ht="14" thickBot="1" x14ac:dyDescent="0.2">
      <c r="A4" s="183" t="s">
        <v>89</v>
      </c>
      <c r="B4" s="183" t="s">
        <v>124</v>
      </c>
      <c r="D4" s="48"/>
      <c r="E4" s="136" t="s">
        <v>55</v>
      </c>
      <c r="F4" s="53" t="s">
        <v>29</v>
      </c>
      <c r="G4" s="53" t="s">
        <v>31</v>
      </c>
      <c r="H4" s="53" t="s">
        <v>37</v>
      </c>
      <c r="I4" s="53" t="s">
        <v>30</v>
      </c>
      <c r="J4" s="53" t="s">
        <v>57</v>
      </c>
      <c r="K4" s="53" t="s">
        <v>56</v>
      </c>
      <c r="L4" s="53" t="s">
        <v>58</v>
      </c>
      <c r="M4" s="53" t="s">
        <v>59</v>
      </c>
      <c r="N4" s="53" t="s">
        <v>60</v>
      </c>
      <c r="O4" s="53" t="s">
        <v>61</v>
      </c>
      <c r="P4" s="53" t="s">
        <v>62</v>
      </c>
      <c r="Q4" s="53" t="s">
        <v>63</v>
      </c>
      <c r="R4" s="53" t="s">
        <v>64</v>
      </c>
      <c r="S4" s="54" t="s">
        <v>65</v>
      </c>
    </row>
    <row r="5" spans="1:19" x14ac:dyDescent="0.15">
      <c r="A5" s="183" t="s">
        <v>95</v>
      </c>
      <c r="B5" s="183" t="s">
        <v>126</v>
      </c>
      <c r="D5" s="46" t="s">
        <v>25</v>
      </c>
      <c r="E5" s="13">
        <f>VLOOKUP('Atomization Model'!$G$6,DV0.1,E3, FALSE)</f>
        <v>258.69988418999998</v>
      </c>
      <c r="F5" s="13">
        <f>VLOOKUP('Atomization Model'!$G$6,DV0.1,F3, FALSE)</f>
        <v>57.219527767000002</v>
      </c>
      <c r="G5" s="13">
        <f>VLOOKUP('Atomization Model'!$G$6,DV0.1,G3, FALSE)</f>
        <v>-82.685601849999998</v>
      </c>
      <c r="H5" s="13">
        <f>VLOOKUP('Atomization Model'!$G$6,DV0.1,H3, FALSE)</f>
        <v>-33.176453709999997</v>
      </c>
      <c r="I5" s="143">
        <f>VLOOKUP('Atomization Model'!$G$6,DV0.1,I3, FALSE)</f>
        <v>-72.429231490000006</v>
      </c>
      <c r="J5" s="15">
        <f>VLOOKUP('Atomization Model'!$G$6,DV0.1,J3, FALSE)</f>
        <v>-40.457552079999999</v>
      </c>
      <c r="K5" s="15">
        <f>VLOOKUP('Atomization Model'!$G$6,DV0.1,K3, FALSE)</f>
        <v>-11.802427079999999</v>
      </c>
      <c r="L5" s="15">
        <f>VLOOKUP('Atomization Model'!$G$6,DV0.1,L3, FALSE)</f>
        <v>37.850822919000002</v>
      </c>
      <c r="M5" s="15">
        <f>VLOOKUP('Atomization Model'!$G$6,DV0.1,M3, FALSE)</f>
        <v>-17.932572919999998</v>
      </c>
      <c r="N5" s="15">
        <f>VLOOKUP('Atomization Model'!$G$6,DV0.1,N3, FALSE)</f>
        <v>12.095510406000001</v>
      </c>
      <c r="O5" s="141">
        <f>VLOOKUP('Atomization Model'!$G$6,DV0.1,O3, FALSE)</f>
        <v>16.185968756000001</v>
      </c>
      <c r="P5" s="13">
        <f>VLOOKUP('Atomization Model'!$G$6,DV0.1,P3, FALSE)</f>
        <v>-6.7902537509999998</v>
      </c>
      <c r="Q5" s="13">
        <f>VLOOKUP('Atomization Model'!$G$6,DV0.1,Q3, FALSE)</f>
        <v>3.6039128992</v>
      </c>
      <c r="R5" s="13">
        <f>VLOOKUP('Atomization Model'!$G$6,DV0.1,R3, FALSE)</f>
        <v>-28.724753799999998</v>
      </c>
      <c r="S5" s="13">
        <f>VLOOKUP('Atomization Model'!$G$6,DV0.1,S3, FALSE)</f>
        <v>23.654746248999999</v>
      </c>
    </row>
    <row r="6" spans="1:19" x14ac:dyDescent="0.15">
      <c r="A6" s="183" t="s">
        <v>119</v>
      </c>
      <c r="B6" s="183" t="s">
        <v>124</v>
      </c>
      <c r="D6" s="46" t="s">
        <v>26</v>
      </c>
      <c r="E6" s="15">
        <f>VLOOKUP('Atomization Model'!$G$6,DV0.5,E3,FALSE)</f>
        <v>621.39919635000001</v>
      </c>
      <c r="F6" s="15">
        <f>VLOOKUP('Atomization Model'!$G$6,DV0.5,F3,FALSE)</f>
        <v>146.24868057</v>
      </c>
      <c r="G6" s="15">
        <f>VLOOKUP('Atomization Model'!$G$6,DV0.5,G3,FALSE)</f>
        <v>-152.44648609999999</v>
      </c>
      <c r="H6" s="15">
        <f>VLOOKUP('Atomization Model'!$G$6,DV0.5,H3,FALSE)</f>
        <v>-48.427171319999999</v>
      </c>
      <c r="I6" s="144">
        <f>VLOOKUP('Atomization Model'!$G$6,DV0.5,I3,FALSE)</f>
        <v>-116.74621759999999</v>
      </c>
      <c r="J6" s="15">
        <f>VLOOKUP('Atomization Model'!$G$6,DV0.5,J3,FALSE)</f>
        <v>-88.254057309999993</v>
      </c>
      <c r="K6" s="15">
        <f>VLOOKUP('Atomization Model'!$G$6,DV0.5,K3,FALSE)</f>
        <v>-17.812557330000001</v>
      </c>
      <c r="L6" s="15">
        <f>VLOOKUP('Atomization Model'!$G$6,DV0.5,L3,FALSE)</f>
        <v>56.053609399999999</v>
      </c>
      <c r="M6" s="15">
        <f>VLOOKUP('Atomization Model'!$G$6,DV0.5,M3,FALSE)</f>
        <v>-32.950609389999997</v>
      </c>
      <c r="N6" s="15">
        <f>VLOOKUP('Atomization Model'!$G$6,DV0.5,N3,FALSE)</f>
        <v>0.18647398749999999</v>
      </c>
      <c r="O6" s="142">
        <f>VLOOKUP('Atomization Model'!$G$6,DV0.5,O3,FALSE)</f>
        <v>10.284973975</v>
      </c>
      <c r="P6" s="15">
        <f>VLOOKUP('Atomization Model'!$G$6,DV0.5,P3,FALSE)</f>
        <v>-33.188451260000001</v>
      </c>
      <c r="Q6" s="15">
        <f>VLOOKUP('Atomization Model'!$G$6,DV0.5,Q3,FALSE)</f>
        <v>-0.697284609</v>
      </c>
      <c r="R6" s="15">
        <f>VLOOKUP('Atomization Model'!$G$6,DV0.5,R3,FALSE)</f>
        <v>-59.909784610000003</v>
      </c>
      <c r="S6" s="15">
        <f>VLOOKUP('Atomization Model'!$G$6,DV0.5,S3,FALSE)</f>
        <v>18.901715391</v>
      </c>
    </row>
    <row r="7" spans="1:19" x14ac:dyDescent="0.15">
      <c r="A7" s="183" t="s">
        <v>120</v>
      </c>
      <c r="B7" s="183" t="s">
        <v>124</v>
      </c>
      <c r="D7" s="46" t="s">
        <v>28</v>
      </c>
      <c r="E7" s="15">
        <f>VLOOKUP('Atomization Model'!$G$6,DV0.9,E3,FALSE)</f>
        <v>1171.5676285</v>
      </c>
      <c r="F7" s="15">
        <f>VLOOKUP('Atomization Model'!$G$6,DV0.9,F3,FALSE)</f>
        <v>271.69402312</v>
      </c>
      <c r="G7" s="15">
        <f>VLOOKUP('Atomization Model'!$G$6,DV0.9,G3,FALSE)</f>
        <v>-232.3355694</v>
      </c>
      <c r="H7" s="15">
        <f>VLOOKUP('Atomization Model'!$G$6,DV0.9,H3,FALSE)</f>
        <v>-45.011458390000001</v>
      </c>
      <c r="I7" s="144">
        <f>VLOOKUP('Atomization Model'!$G$6,DV0.9,I3,FALSE)</f>
        <v>-177.64613420000001</v>
      </c>
      <c r="J7" s="15">
        <f>VLOOKUP('Atomization Model'!$G$6,DV0.9,J3,FALSE)</f>
        <v>-135.5744219</v>
      </c>
      <c r="K7" s="15">
        <f>VLOOKUP('Atomization Model'!$G$6,DV0.9,K3,FALSE)</f>
        <v>-9.3777969120000009</v>
      </c>
      <c r="L7" s="15">
        <f>VLOOKUP('Atomization Model'!$G$6,DV0.9,L3,FALSE)</f>
        <v>73.423994788000002</v>
      </c>
      <c r="M7" s="15">
        <f>VLOOKUP('Atomization Model'!$G$6,DV0.9,M3,FALSE)</f>
        <v>-50.055828089999999</v>
      </c>
      <c r="N7" s="15">
        <f>VLOOKUP('Atomization Model'!$G$6,DV0.9,N3,FALSE)</f>
        <v>-40.470119789999998</v>
      </c>
      <c r="O7" s="142">
        <f>VLOOKUP('Atomization Model'!$G$6,DV0.9,O3,FALSE)</f>
        <v>-10.799411429999999</v>
      </c>
      <c r="P7" s="15">
        <f>VLOOKUP('Atomization Model'!$G$6,DV0.9,P3,FALSE)</f>
        <v>-71.224844469999994</v>
      </c>
      <c r="Q7" s="15">
        <f>VLOOKUP('Atomization Model'!$G$6,DV0.9,Q3,FALSE)</f>
        <v>-63.091511269999998</v>
      </c>
      <c r="R7" s="15">
        <f>VLOOKUP('Atomization Model'!$G$6,DV0.9,R3,FALSE)</f>
        <v>-91.878177620000002</v>
      </c>
      <c r="S7" s="15">
        <f>VLOOKUP('Atomization Model'!$G$6,DV0.9,S3,FALSE)</f>
        <v>3.5791557291</v>
      </c>
    </row>
    <row r="8" spans="1:19" x14ac:dyDescent="0.15">
      <c r="A8" s="183" t="s">
        <v>121</v>
      </c>
      <c r="B8" s="183" t="s">
        <v>126</v>
      </c>
      <c r="D8" s="46" t="s">
        <v>8</v>
      </c>
      <c r="E8" s="15">
        <f>VLOOKUP('Atomization Model'!$G$6,Less100,E3,FALSE)</f>
        <v>1.0917687091999999</v>
      </c>
      <c r="F8" s="15">
        <f>VLOOKUP('Atomization Model'!$G$6,Less100,F3,FALSE)</f>
        <v>-0.69645595400000004</v>
      </c>
      <c r="G8" s="15">
        <f>VLOOKUP('Atomization Model'!$G$6,Less100,G3,FALSE)</f>
        <v>2.0278922317000001</v>
      </c>
      <c r="H8" s="15">
        <f>VLOOKUP('Atomization Model'!$G$6,Less100,H3,FALSE)</f>
        <v>0.21404369470000001</v>
      </c>
      <c r="I8" s="144">
        <f>VLOOKUP('Atomization Model'!$G$6,Less100,I3,FALSE)</f>
        <v>1.8629170651</v>
      </c>
      <c r="J8" s="15">
        <f>VLOOKUP('Atomization Model'!$G$6,Less100,J3,FALSE)</f>
        <v>-0.28403163599999998</v>
      </c>
      <c r="K8" s="15">
        <f>VLOOKUP('Atomization Model'!$G$6,Less100,K3,FALSE)</f>
        <v>-8.6364594000000003E-2</v>
      </c>
      <c r="L8" s="15">
        <f>VLOOKUP('Atomization Model'!$G$6,Less100,L3,FALSE)</f>
        <v>-0.13072501</v>
      </c>
      <c r="M8" s="15">
        <f>VLOOKUP('Atomization Model'!$G$6,Less100,M3,FALSE)</f>
        <v>-0.43473524000000002</v>
      </c>
      <c r="N8" s="15">
        <f>VLOOKUP('Atomization Model'!$G$6,Less100,N3,FALSE)</f>
        <v>1.5550456773000001</v>
      </c>
      <c r="O8" s="142">
        <f>VLOOKUP('Atomization Model'!$G$6,Less100,O3,FALSE)</f>
        <v>8.6391552199999999E-2</v>
      </c>
      <c r="P8" s="15">
        <f>VLOOKUP('Atomization Model'!$G$6,Less100,P3,FALSE)</f>
        <v>-4.5061882999999997E-2</v>
      </c>
      <c r="Q8" s="15">
        <f>VLOOKUP('Atomization Model'!$G$6,Less100,Q3,FALSE)</f>
        <v>0.73832845079999998</v>
      </c>
      <c r="R8" s="15">
        <f>VLOOKUP('Atomization Model'!$G$6,Less100,R3,FALSE)</f>
        <v>0.8033982838</v>
      </c>
      <c r="S8" s="15">
        <f>VLOOKUP('Atomization Model'!$G$6,Less100,S3,FALSE)</f>
        <v>0.3428527838</v>
      </c>
    </row>
    <row r="9" spans="1:19" x14ac:dyDescent="0.15">
      <c r="A9" s="183" t="s">
        <v>122</v>
      </c>
      <c r="B9" s="183" t="s">
        <v>126</v>
      </c>
      <c r="D9" s="46" t="s">
        <v>101</v>
      </c>
      <c r="E9" s="15">
        <f>VLOOKUP('Atomization Model'!$G$6,Less200,E3,FALSE)</f>
        <v>5.8656106081999999</v>
      </c>
      <c r="F9" s="15">
        <f>VLOOKUP('Atomization Model'!$G$6,Less200,F3,FALSE)</f>
        <v>-3.3440079909999998</v>
      </c>
      <c r="G9" s="15">
        <f>VLOOKUP('Atomization Model'!$G$6,Less200,G3,FALSE)</f>
        <v>6.1432239354</v>
      </c>
      <c r="H9" s="15">
        <f>VLOOKUP('Atomization Model'!$G$6,Less200,H3,FALSE)</f>
        <v>1.1521272132</v>
      </c>
      <c r="I9" s="144">
        <f>VLOOKUP('Atomization Model'!$G$6,Less200,I3,FALSE)</f>
        <v>6.1870032685999998</v>
      </c>
      <c r="J9" s="15">
        <f>VLOOKUP('Atomization Model'!$G$6,Less200,J3,FALSE)</f>
        <v>-7.3605532000000001E-2</v>
      </c>
      <c r="K9" s="15">
        <f>VLOOKUP('Atomization Model'!$G$6,Less200,K3,FALSE)</f>
        <v>-0.49826694700000002</v>
      </c>
      <c r="L9" s="15">
        <f>VLOOKUP('Atomization Model'!$G$6,Less200,L3,FALSE)</f>
        <v>-0.74810711500000004</v>
      </c>
      <c r="M9" s="15">
        <f>VLOOKUP('Atomization Model'!$G$6,Less200,M3,FALSE)</f>
        <v>-1.425071969</v>
      </c>
      <c r="N9" s="15">
        <f>VLOOKUP('Atomization Model'!$G$6,Less200,N3,FALSE)</f>
        <v>3.8002841973999999</v>
      </c>
      <c r="O9" s="142">
        <f>VLOOKUP('Atomization Model'!$G$6,Less200,O3,FALSE)</f>
        <v>0.16852286499999999</v>
      </c>
      <c r="P9" s="15">
        <f>VLOOKUP('Atomization Model'!$G$6,Less200,P3,FALSE)</f>
        <v>0.57688023489999996</v>
      </c>
      <c r="Q9" s="15">
        <f>VLOOKUP('Atomization Model'!$G$6,Less200,Q3,FALSE)</f>
        <v>2.0964569034</v>
      </c>
      <c r="R9" s="15">
        <f>VLOOKUP('Atomization Model'!$G$6,Less200,R3,FALSE)</f>
        <v>2.6323117364000002</v>
      </c>
      <c r="S9" s="15">
        <f>VLOOKUP('Atomization Model'!$G$6,Less200,S3,FALSE)</f>
        <v>0.80655573489999999</v>
      </c>
    </row>
    <row r="10" spans="1:19" ht="14" thickBot="1" x14ac:dyDescent="0.2">
      <c r="A10" s="183" t="s">
        <v>127</v>
      </c>
      <c r="B10" s="183" t="s">
        <v>124</v>
      </c>
      <c r="D10" s="47" t="s">
        <v>115</v>
      </c>
      <c r="E10" s="17">
        <f>VLOOKUP('Atomization Model'!$G$6,Less141,E3,FALSE)</f>
        <v>2.5899152880999998</v>
      </c>
      <c r="F10" s="17">
        <f>VLOOKUP('Atomization Model'!$G$6,Less141,F3,FALSE)</f>
        <v>-1.540158871</v>
      </c>
      <c r="G10" s="17">
        <f>VLOOKUP('Atomization Model'!$G$6,Less141,G3,FALSE)</f>
        <v>3.5029929633000001</v>
      </c>
      <c r="H10" s="17">
        <f>VLOOKUP('Atomization Model'!$G$6,Less141,H3,FALSE)</f>
        <v>0.52540151889999998</v>
      </c>
      <c r="I10" s="17">
        <f>VLOOKUP('Atomization Model'!$G$6,Less141,I3,FALSE)</f>
        <v>3.4353284078000002</v>
      </c>
      <c r="J10" s="17">
        <f>VLOOKUP('Atomization Model'!$G$6,Less141,J3,FALSE)</f>
        <v>-0.24282177099999999</v>
      </c>
      <c r="K10" s="17">
        <f>VLOOKUP('Atomization Model'!$G$6,Less141,K3,FALSE)</f>
        <v>-0.20289743700000001</v>
      </c>
      <c r="L10" s="17">
        <f>VLOOKUP('Atomization Model'!$G$6,Less141,L3,FALSE)</f>
        <v>-0.34773368700000001</v>
      </c>
      <c r="M10" s="17">
        <f>VLOOKUP('Atomization Model'!$G$6,Less141,M3,FALSE)</f>
        <v>-0.798953896</v>
      </c>
      <c r="N10" s="17">
        <f>VLOOKUP('Atomization Model'!$G$6,Less141,N3,FALSE)</f>
        <v>2.4451994379999999</v>
      </c>
      <c r="O10" s="17">
        <f>VLOOKUP('Atomization Model'!$G$6,Less141,O3,FALSE)</f>
        <v>0.1392977712</v>
      </c>
      <c r="P10" s="17">
        <f>VLOOKUP('Atomization Model'!$G$6,Less141,P3,FALSE)</f>
        <v>7.1120108299999998E-2</v>
      </c>
      <c r="Q10" s="17">
        <f>VLOOKUP('Atomization Model'!$G$6,Less141,Q3,FALSE)</f>
        <v>1.2406002753000001</v>
      </c>
      <c r="R10" s="17">
        <f>VLOOKUP('Atomization Model'!$G$6,Less141,R3,FALSE)</f>
        <v>1.4778302753000001</v>
      </c>
      <c r="S10" s="17">
        <f>VLOOKUP('Atomization Model'!$G$6,Less141,S3,FALSE)</f>
        <v>0.55082527479999999</v>
      </c>
    </row>
    <row r="11" spans="1:19" x14ac:dyDescent="0.15">
      <c r="A11" s="183" t="s">
        <v>128</v>
      </c>
      <c r="B11" s="183" t="s">
        <v>124</v>
      </c>
    </row>
    <row r="12" spans="1:19" ht="15" x14ac:dyDescent="0.2">
      <c r="A12" s="183" t="s">
        <v>90</v>
      </c>
      <c r="B12" s="183" t="s">
        <v>124</v>
      </c>
      <c r="H12" s="15"/>
      <c r="I12" s="62" t="s">
        <v>13</v>
      </c>
      <c r="J12" s="64">
        <f>E5+$F$14*F5+$F$15*G5+$F$16*H5+$F$17*I5+$F$14*$F$15*J5+$F$14*$F$16*K5+$F$15*$F$16*L5+$F$14*$F$17*M5+$F$15*$F$17*N5+$F$16*$F$17*O5+$F$14*$F$14*P5+$F$15*$F$15*Q5+$F$16*$F$16*R5+$F$17*$F$17*S5</f>
        <v>262.87499476809057</v>
      </c>
      <c r="K12">
        <f>IF(J12&lt;0,0,J12)</f>
        <v>262.87499476809057</v>
      </c>
      <c r="O12" s="42" t="s">
        <v>36</v>
      </c>
    </row>
    <row r="13" spans="1:19" ht="15" x14ac:dyDescent="0.2">
      <c r="A13" s="183" t="s">
        <v>92</v>
      </c>
      <c r="B13" s="183" t="s">
        <v>124</v>
      </c>
      <c r="E13" s="42" t="s">
        <v>81</v>
      </c>
      <c r="F13" s="42" t="s">
        <v>82</v>
      </c>
      <c r="H13" s="15"/>
      <c r="I13" s="62" t="s">
        <v>15</v>
      </c>
      <c r="J13" s="64">
        <f t="shared" ref="J13:J14" si="0">E6+$F$14*F6+$F$15*G6+$F$16*H6+$F$17*I6+$F$14*$F$15*J6+$F$14*$F$16*K6+$F$15*$F$16*L6+$F$14*$F$17*M6+$F$15*$F$17*N6+$F$16*$F$17*O6+$F$14*$F$14*P6+$F$15*$F$15*Q6+$F$16*$F$16*R6+$F$17*$F$17*S6</f>
        <v>582.58268121356252</v>
      </c>
      <c r="K13">
        <f>IF(J13&lt;0,0,J13)</f>
        <v>582.58268121356252</v>
      </c>
      <c r="O13" s="191">
        <v>2</v>
      </c>
      <c r="P13" s="42" t="s">
        <v>29</v>
      </c>
      <c r="Q13" s="42" t="s">
        <v>31</v>
      </c>
      <c r="R13" s="42" t="s">
        <v>37</v>
      </c>
      <c r="S13" s="42" t="s">
        <v>30</v>
      </c>
    </row>
    <row r="14" spans="1:19" ht="15" x14ac:dyDescent="0.2">
      <c r="A14" s="135" t="s">
        <v>100</v>
      </c>
      <c r="B14" s="183" t="s">
        <v>124</v>
      </c>
      <c r="D14" t="s">
        <v>51</v>
      </c>
      <c r="E14">
        <f>'Atomization Model'!F16</f>
        <v>15</v>
      </c>
      <c r="F14">
        <f>(E14-E20)/F20</f>
        <v>0.375</v>
      </c>
      <c r="H14" s="15"/>
      <c r="I14" s="62" t="s">
        <v>16</v>
      </c>
      <c r="J14" s="64">
        <f t="shared" si="0"/>
        <v>1030.062298180756</v>
      </c>
      <c r="O14" s="191">
        <v>3</v>
      </c>
      <c r="P14">
        <f>VLOOKUP('Atomization Model'!$G$6,Orifice,O14,FALSE)</f>
        <v>4</v>
      </c>
      <c r="Q14">
        <f>VLOOKUP('Atomization Model'!$G$6,Airspeed,O13,FALSE)</f>
        <v>50</v>
      </c>
      <c r="R14">
        <f>IF(VLOOKUP('Atomization Model'!$G$6,Press,O13,FALSE)&gt;0,VLOOKUP('Atomization Model'!$G$6,Press,O13,FALSE)," ")</f>
        <v>30</v>
      </c>
      <c r="S14">
        <f>VLOOKUP('Atomization Model'!$G$6,Angle,O14,FALSE)</f>
        <v>0</v>
      </c>
    </row>
    <row r="15" spans="1:19" x14ac:dyDescent="0.15">
      <c r="A15" s="135" t="s">
        <v>131</v>
      </c>
      <c r="B15" s="183" t="s">
        <v>126</v>
      </c>
      <c r="D15" t="s">
        <v>54</v>
      </c>
      <c r="E15">
        <f>'Atomization Model'!P16</f>
        <v>120</v>
      </c>
      <c r="F15">
        <f>(E15-E21)/F21</f>
        <v>1</v>
      </c>
      <c r="H15" s="15"/>
      <c r="I15" s="63"/>
      <c r="J15" s="64"/>
      <c r="O15" s="191">
        <v>4</v>
      </c>
      <c r="P15">
        <f>IF(VLOOKUP('Atomization Model'!$G$6,Orifice,O15,FALSE)&gt;0,VLOOKUP('Atomization Model'!$G$6,Orifice,O15,FALSE)," ")</f>
        <v>6</v>
      </c>
      <c r="Q15">
        <f>VLOOKUP('Atomization Model'!$G$6,Airspeed,O14,FALSE)</f>
        <v>55</v>
      </c>
      <c r="R15">
        <f>IF(VLOOKUP('Atomization Model'!$G$6,Press,O14,FALSE)&gt;0,VLOOKUP('Atomization Model'!$G$6,Press,O14,FALSE)," ")</f>
        <v>35</v>
      </c>
      <c r="S15">
        <f>IF(VLOOKUP('Atomization Model'!$G$6,Angle,O15,FALSE)&gt;0,VLOOKUP('Atomization Model'!$G$6,Angle,O15,FALSE)," ")</f>
        <v>15</v>
      </c>
    </row>
    <row r="16" spans="1:19" x14ac:dyDescent="0.15">
      <c r="A16" s="135" t="s">
        <v>132</v>
      </c>
      <c r="B16" s="183" t="s">
        <v>126</v>
      </c>
      <c r="D16" t="s">
        <v>53</v>
      </c>
      <c r="E16">
        <f>'Atomization Model'!M16</f>
        <v>30</v>
      </c>
      <c r="F16">
        <f>(E16-E22)/F22</f>
        <v>-1</v>
      </c>
      <c r="I16" s="61" t="s">
        <v>9</v>
      </c>
      <c r="J16" s="64">
        <f>E8+$F$14*F8+$F$15*G8+$F$16*H8+$F$17*I8+$F$14*$F$15*J8+$F$14*$F$16*K8+$F$15*$F$16*L8+$F$14*$F$17*M8+$F$15*$F$17*N8+$F$16*$F$17*O8+$F$14*$F$14*P8+$F$15*$F$15*Q8+$F$16*$F$16*R8+$F$17*$F$17*S8</f>
        <v>1.4107433486031249</v>
      </c>
      <c r="K16">
        <f>IF(J16&lt;0,0.01,J16)</f>
        <v>1.4107433486031249</v>
      </c>
      <c r="O16" s="191">
        <v>5</v>
      </c>
      <c r="P16">
        <f>IF(VLOOKUP('Atomization Model'!$G$6,Orifice,O16,FALSE)&gt;0,VLOOKUP('Atomization Model'!$G$6,Orifice,O16,FALSE)," ")</f>
        <v>8</v>
      </c>
      <c r="Q16">
        <f>VLOOKUP('Atomization Model'!$G$6,Airspeed,O15,FALSE)</f>
        <v>60</v>
      </c>
      <c r="R16">
        <f>IF(VLOOKUP('Atomization Model'!$G$6,Press,O15,FALSE)&gt;0,VLOOKUP('Atomization Model'!$G$6,Press,O15,FALSE)," ")</f>
        <v>40</v>
      </c>
      <c r="S16">
        <f>IF(VLOOKUP('Atomization Model'!$G$6,Angle,O16,FALSE)&gt;0,VLOOKUP('Atomization Model'!$G$6,Angle,O16,FALSE)," ")</f>
        <v>30</v>
      </c>
    </row>
    <row r="17" spans="1:19" ht="14" x14ac:dyDescent="0.2">
      <c r="A17" s="183" t="s">
        <v>164</v>
      </c>
      <c r="B17" s="183" t="s">
        <v>124</v>
      </c>
      <c r="D17" t="s">
        <v>52</v>
      </c>
      <c r="E17">
        <f>'Atomization Model'!I16</f>
        <v>0</v>
      </c>
      <c r="F17">
        <f>(E17-E23)/F23</f>
        <v>-1</v>
      </c>
      <c r="I17" s="61" t="s">
        <v>10</v>
      </c>
      <c r="J17" s="64">
        <f>E9+$F$14*F9+$F$15*G9+$F$16*H9+$F$17*I9+$F$14*$F$15*J9+$F$14*$F$16*K9+$F$15*$F$16*L9+$F$14*$F$17*M9+$F$15*$F$17*N9+$F$16*$F$17*O9+$F$14*$F$14*P9+$F$15*$F$15*Q9+$F$16*$F$16*R9+$F$17*$F$17*S9</f>
        <v>6.8421450245078121</v>
      </c>
      <c r="K17">
        <f>IF(J17&lt;0,0.02,J17)</f>
        <v>6.8421450245078121</v>
      </c>
      <c r="O17" s="191">
        <v>6</v>
      </c>
      <c r="P17">
        <f>IF(VLOOKUP('Atomization Model'!$G$6,Orifice,O17,FALSE)&gt;0,VLOOKUP('Atomization Model'!$G$6,Orifice,O17,FALSE)," ")</f>
        <v>10</v>
      </c>
      <c r="Q17">
        <f>VLOOKUP('Atomization Model'!$G$6,Airspeed,O16,FALSE)</f>
        <v>65</v>
      </c>
      <c r="R17">
        <f>IF(VLOOKUP('Atomization Model'!$G$6,Press,O16,FALSE)&gt;0,VLOOKUP('Atomization Model'!$G$6,Press,O16,FALSE)," ")</f>
        <v>45</v>
      </c>
      <c r="S17">
        <f>IF(VLOOKUP('Atomization Model'!$G$6,Angle,O17,FALSE)&gt;0,VLOOKUP('Atomization Model'!$G$6,Angle,O17,FALSE)," ")</f>
        <v>45</v>
      </c>
    </row>
    <row r="18" spans="1:19" x14ac:dyDescent="0.15">
      <c r="A18" s="135"/>
      <c r="B18" s="183"/>
      <c r="I18" s="161" t="s">
        <v>117</v>
      </c>
      <c r="J18" s="64">
        <f>E10+$F$14*F10+$F$15*G10+$F$16*H10+$F$17*I10+$F$14*$F$15*J10+$F$14*$F$16*K10+$F$15*$F$16*L10+$F$14*$F$17*M10+$F$15*$F$17*N10+$F$16*$F$17*O10+$F$14*$F$14*P10+$F$15*$F$15*Q10+$F$16*$F$16*R10+$F$17*$F$17*S10</f>
        <v>3.1603439446546879</v>
      </c>
      <c r="K18">
        <f>IF(J18&lt;0,0.02,J18)</f>
        <v>3.1603439446546879</v>
      </c>
      <c r="O18" s="191">
        <v>7</v>
      </c>
      <c r="P18">
        <f>IF(VLOOKUP('Atomization Model'!$G$6,Orifice,O18,FALSE)&gt;0,VLOOKUP('Atomization Model'!$G$6,Orifice,O18,FALSE)," ")</f>
        <v>12</v>
      </c>
      <c r="Q18">
        <f>VLOOKUP('Atomization Model'!$G$6,Airspeed,O17,FALSE)</f>
        <v>70</v>
      </c>
      <c r="R18">
        <f>IF(VLOOKUP('Atomization Model'!$G$6,Press,O17,FALSE)&gt;0,VLOOKUP('Atomization Model'!$G$6,Press,O17,FALSE)," ")</f>
        <v>50</v>
      </c>
      <c r="S18" t="str">
        <f>IF(VLOOKUP('Atomization Model'!$G$6,Angle,O18,FALSE)&gt;0,VLOOKUP('Atomization Model'!$G$6,Angle,O18,FALSE)," ")</f>
        <v xml:space="preserve"> </v>
      </c>
    </row>
    <row r="19" spans="1:19" x14ac:dyDescent="0.15">
      <c r="A19" s="135"/>
      <c r="B19" s="134"/>
      <c r="E19" s="42" t="s">
        <v>70</v>
      </c>
      <c r="F19" s="42" t="s">
        <v>71</v>
      </c>
      <c r="O19" s="191">
        <v>8</v>
      </c>
      <c r="P19">
        <f>IF(VLOOKUP('Atomization Model'!$G$6,Orifice,O19,FALSE)&gt;0,VLOOKUP('Atomization Model'!$G$6,Orifice,O19,FALSE)," ")</f>
        <v>15</v>
      </c>
      <c r="Q19">
        <f>VLOOKUP('Atomization Model'!$G$6,Airspeed,O18,FALSE)</f>
        <v>75</v>
      </c>
      <c r="R19">
        <f>IF(VLOOKUP('Atomization Model'!$G$6,Press,O18,FALSE)&gt;0,VLOOKUP('Atomization Model'!$G$6,Press,O18,FALSE)," ")</f>
        <v>55</v>
      </c>
      <c r="S19" t="str">
        <f>IF(VLOOKUP('Atomization Model'!$G$6,Angle,O19,FALSE)&gt;0,VLOOKUP('Atomization Model'!$G$6,Angle,O19,FALSE)," ")</f>
        <v xml:space="preserve"> </v>
      </c>
    </row>
    <row r="20" spans="1:19" x14ac:dyDescent="0.15">
      <c r="A20" s="135"/>
      <c r="B20" s="134"/>
      <c r="D20" s="42" t="s">
        <v>66</v>
      </c>
      <c r="E20">
        <f>VLOOKUP('Atomization Model'!$G$6,CCDFactors,2,)</f>
        <v>12</v>
      </c>
      <c r="F20">
        <f>VLOOKUP('Atomization Model'!$G$6,CCDFactors,3,FALSE)</f>
        <v>8</v>
      </c>
      <c r="O20" s="191">
        <v>9</v>
      </c>
      <c r="P20">
        <f>IF(VLOOKUP('Atomization Model'!$G$6,Orifice,O20,FALSE)&gt;0,VLOOKUP('Atomization Model'!$G$6,Orifice,O20,FALSE)," ")</f>
        <v>20</v>
      </c>
      <c r="Q20">
        <f>VLOOKUP('Atomization Model'!$G$6,Airspeed,O19,FALSE)</f>
        <v>80</v>
      </c>
      <c r="R20">
        <f>IF(VLOOKUP('Atomization Model'!$G$6,Press,O19,FALSE)&gt;0,VLOOKUP('Atomization Model'!$G$6,Press,O19,FALSE)," ")</f>
        <v>60</v>
      </c>
      <c r="S20" t="str">
        <f>IF(VLOOKUP('Atomization Model'!$G$6,Angle,O20,FALSE)&gt;0,VLOOKUP('Atomization Model'!$G$6,Angle,O20,FALSE)," ")</f>
        <v xml:space="preserve"> </v>
      </c>
    </row>
    <row r="21" spans="1:19" x14ac:dyDescent="0.15">
      <c r="D21" s="42" t="s">
        <v>67</v>
      </c>
      <c r="E21">
        <f>VLOOKUP('Atomization Model'!$G$6,CCDFactors,4,FALSE)</f>
        <v>85</v>
      </c>
      <c r="F21">
        <f>VLOOKUP('Atomization Model'!$G$6,CCDFactors,5,FALSE)</f>
        <v>35</v>
      </c>
      <c r="O21" s="191">
        <v>10</v>
      </c>
      <c r="P21" t="str">
        <f>IF(VLOOKUP('Atomization Model'!$G$6,Orifice,O21,FALSE)&gt;0,VLOOKUP('Atomization Model'!$G$6,Orifice,O21,FALSE)," ")</f>
        <v xml:space="preserve"> </v>
      </c>
      <c r="Q21">
        <f>VLOOKUP('Atomization Model'!$G$6,Airspeed,O20,FALSE)</f>
        <v>85</v>
      </c>
      <c r="R21" t="str">
        <f>IF(VLOOKUP('Atomization Model'!$G$6,Press,O20,FALSE)&gt;0,VLOOKUP('Atomization Model'!$G$6,Press,O20,FALSE)," ")</f>
        <v xml:space="preserve"> </v>
      </c>
      <c r="S21" t="str">
        <f>IF(VLOOKUP('Atomization Model'!$G$6,Angle,O21,FALSE)&gt;0,VLOOKUP('Atomization Model'!$G$6,Angle,O21,FALSE)," ")</f>
        <v xml:space="preserve"> </v>
      </c>
    </row>
    <row r="22" spans="1:19" x14ac:dyDescent="0.15">
      <c r="D22" s="42" t="s">
        <v>68</v>
      </c>
      <c r="E22">
        <f>VLOOKUP('Atomization Model'!$G$6,CCDFactors,6,FALSE)</f>
        <v>45</v>
      </c>
      <c r="F22">
        <f>VLOOKUP('Atomization Model'!$G$6,CCDFactors,7,FALSE)</f>
        <v>15</v>
      </c>
      <c r="O22" s="191">
        <v>11</v>
      </c>
      <c r="P22" t="str">
        <f>IF(VLOOKUP('Atomization Model'!$G$6,Orifice,O22,FALSE)&gt;0,VLOOKUP('Atomization Model'!$G$6,Orifice,O22,FALSE)," ")</f>
        <v xml:space="preserve"> </v>
      </c>
      <c r="Q22">
        <f>VLOOKUP('Atomization Model'!$G$6,Airspeed,O21,FALSE)</f>
        <v>90</v>
      </c>
      <c r="R22" t="str">
        <f>IF(VLOOKUP('Atomization Model'!$G$6,Press,O21,FALSE)&gt;0,VLOOKUP('Atomization Model'!$G$6,Press,O21,FALSE)," ")</f>
        <v xml:space="preserve"> </v>
      </c>
      <c r="S22" t="str">
        <f>IF(VLOOKUP('Atomization Model'!$G$6,Angle,O22,FALSE)&gt;0,VLOOKUP('Atomization Model'!$G$6,Angle,O22,FALSE)," ")</f>
        <v xml:space="preserve"> </v>
      </c>
    </row>
    <row r="23" spans="1:19" x14ac:dyDescent="0.15">
      <c r="D23" s="42" t="s">
        <v>69</v>
      </c>
      <c r="E23">
        <f>VLOOKUP('Atomization Model'!$G$6,CCDFactors,8,FALSE)</f>
        <v>22.5</v>
      </c>
      <c r="F23">
        <f>VLOOKUP('Atomization Model'!$G$6,CCDFactors,9,FALSE)</f>
        <v>22.5</v>
      </c>
      <c r="O23" s="191">
        <v>12</v>
      </c>
      <c r="P23" t="str">
        <f>IF(VLOOKUP('Atomization Model'!$G$6,Orifice,O23,FALSE)&gt;0,VLOOKUP('Atomization Model'!$G$6,Orifice,O23,FALSE)," ")</f>
        <v xml:space="preserve"> </v>
      </c>
      <c r="Q23">
        <f>VLOOKUP('Atomization Model'!$G$6,Airspeed,O22,FALSE)</f>
        <v>95</v>
      </c>
      <c r="R23" t="str">
        <f>IF(VLOOKUP('Atomization Model'!$G$6,Press,O22,FALSE)&gt;0,VLOOKUP('Atomization Model'!$G$6,Press,O22,FALSE)," ")</f>
        <v xml:space="preserve"> </v>
      </c>
      <c r="S23" t="str">
        <f>IF(VLOOKUP('Atomization Model'!$G$6,Angle,O23,FALSE)&gt;0,VLOOKUP('Atomization Model'!$G$6,Angle,O23,FALSE)," ")</f>
        <v xml:space="preserve"> </v>
      </c>
    </row>
    <row r="24" spans="1:19" x14ac:dyDescent="0.15">
      <c r="O24" s="191">
        <v>13</v>
      </c>
      <c r="P24" t="str">
        <f>IF(VLOOKUP('Atomization Model'!$G$6,Orifice,O24,FALSE)&gt;0,VLOOKUP('Atomization Model'!$G$6,Orifice,O24,FALSE)," ")</f>
        <v xml:space="preserve"> </v>
      </c>
      <c r="Q24">
        <f>VLOOKUP('Atomization Model'!$G$6,Airspeed,O23,FALSE)</f>
        <v>100</v>
      </c>
      <c r="R24" t="str">
        <f>IF(VLOOKUP('Atomization Model'!$G$6,Press,O23,FALSE)&gt;0,VLOOKUP('Atomization Model'!$G$6,Press,O23,FALSE)," ")</f>
        <v xml:space="preserve"> </v>
      </c>
      <c r="S24" t="str">
        <f>IF(VLOOKUP('Atomization Model'!$G$6,Angle,O24,FALSE)&gt;0,VLOOKUP('Atomization Model'!$G$6,Angle,O24,FALSE)," ")</f>
        <v xml:space="preserve"> </v>
      </c>
    </row>
    <row r="25" spans="1:19" x14ac:dyDescent="0.15">
      <c r="O25" s="191">
        <v>14</v>
      </c>
      <c r="P25" t="str">
        <f>IF(VLOOKUP('Atomization Model'!$G$6,Orifice,O25,FALSE)&gt;0,VLOOKUP('Atomization Model'!$G$6,Orifice,O25,FALSE)," ")</f>
        <v xml:space="preserve"> </v>
      </c>
      <c r="Q25">
        <f>IF(VLOOKUP('Atomization Model'!$G$6,Airspeed,O24,FALSE)&gt;0,VLOOKUP('Atomization Model'!$G$6,Airspeed,O24,FALSE)," ")</f>
        <v>105</v>
      </c>
      <c r="R25" t="str">
        <f>IF(VLOOKUP('Atomization Model'!$G$6,Press,O24,FALSE)&gt;0,VLOOKUP('Atomization Model'!$G$6,Press,O24,FALSE)," ")</f>
        <v xml:space="preserve"> </v>
      </c>
      <c r="S25" t="str">
        <f>IF(VLOOKUP('Atomization Model'!$G$6,Angle,O25,FALSE)&gt;0,VLOOKUP('Atomization Model'!$G$6,Angle,O25,FALSE)," ")</f>
        <v xml:space="preserve"> </v>
      </c>
    </row>
    <row r="26" spans="1:19" x14ac:dyDescent="0.15">
      <c r="O26" s="191">
        <v>15</v>
      </c>
      <c r="P26" t="str">
        <f>IF(VLOOKUP('Atomization Model'!$G$6,Orifice,O26,FALSE)&gt;0,VLOOKUP('Atomization Model'!$G$6,Orifice,O26,FALSE)," ")</f>
        <v xml:space="preserve"> </v>
      </c>
      <c r="Q26">
        <f>IF(VLOOKUP('Atomization Model'!$G$6,Airspeed,O25,FALSE)&gt;0,VLOOKUP('Atomization Model'!$G$6,Airspeed,O25,FALSE)," ")</f>
        <v>110</v>
      </c>
      <c r="R26" t="str">
        <f>IF(VLOOKUP('Atomization Model'!$G$6,Press,O25,FALSE)&gt;0,VLOOKUP('Atomization Model'!$G$6,Press,O25,FALSE)," ")</f>
        <v xml:space="preserve"> </v>
      </c>
      <c r="S26" t="str">
        <f>IF(VLOOKUP('Atomization Model'!$G$6,Angle,O26,FALSE)&gt;0,VLOOKUP('Atomization Model'!$G$6,Angle,O26,FALSE)," ")</f>
        <v xml:space="preserve"> </v>
      </c>
    </row>
    <row r="27" spans="1:19" x14ac:dyDescent="0.15">
      <c r="O27" s="191">
        <v>16</v>
      </c>
      <c r="P27" t="str">
        <f>IF(VLOOKUP('Atomization Model'!$G$6,Orifice,O27,FALSE)&gt;0,VLOOKUP('Atomization Model'!$G$6,Orifice,O27,FALSE)," ")</f>
        <v xml:space="preserve"> </v>
      </c>
      <c r="Q27">
        <f>IF(VLOOKUP('Atomization Model'!$G$6,Airspeed,O26,FALSE)&gt;0,VLOOKUP('Atomization Model'!$G$6,Airspeed,O26,FALSE)," ")</f>
        <v>115</v>
      </c>
      <c r="R27" t="str">
        <f>IF(VLOOKUP('Atomization Model'!$G$6,Press,O26,FALSE)&gt;0,VLOOKUP('Atomization Model'!$G$6,Press,O26,FALSE)," ")</f>
        <v xml:space="preserve"> </v>
      </c>
    </row>
    <row r="28" spans="1:19" x14ac:dyDescent="0.15">
      <c r="A28" s="42" t="s">
        <v>72</v>
      </c>
      <c r="B28" s="42" t="s">
        <v>73</v>
      </c>
      <c r="C28" s="42" t="s">
        <v>74</v>
      </c>
      <c r="D28" s="42" t="s">
        <v>75</v>
      </c>
      <c r="E28" s="42" t="s">
        <v>76</v>
      </c>
      <c r="F28" s="42" t="s">
        <v>77</v>
      </c>
      <c r="G28" s="42" t="s">
        <v>78</v>
      </c>
      <c r="H28" s="42" t="s">
        <v>79</v>
      </c>
      <c r="I28" s="42" t="s">
        <v>80</v>
      </c>
      <c r="Q28">
        <f>IF(VLOOKUP('Atomization Model'!$G$6,Airspeed,O27,FALSE)&gt;0,VLOOKUP('Atomization Model'!$G$6,Airspeed,O27,FALSE)," ")</f>
        <v>120</v>
      </c>
    </row>
    <row r="29" spans="1:19" x14ac:dyDescent="0.15">
      <c r="A29" s="134" t="str">
        <f>A2</f>
        <v>CP11TT 20° Flat Fan</v>
      </c>
      <c r="B29">
        <v>12</v>
      </c>
      <c r="C29">
        <v>8</v>
      </c>
      <c r="D29">
        <v>85</v>
      </c>
      <c r="E29">
        <v>35</v>
      </c>
      <c r="F29">
        <v>45</v>
      </c>
      <c r="G29">
        <v>15</v>
      </c>
      <c r="H29">
        <v>22.5</v>
      </c>
      <c r="I29">
        <v>22.5</v>
      </c>
    </row>
    <row r="30" spans="1:19" x14ac:dyDescent="0.15">
      <c r="A30" s="134" t="str">
        <f t="shared" ref="A30:A45" si="1">A3</f>
        <v>CP11TT 40° Flat Fan</v>
      </c>
      <c r="B30">
        <v>16</v>
      </c>
      <c r="C30">
        <v>14</v>
      </c>
      <c r="D30">
        <v>85</v>
      </c>
      <c r="E30">
        <v>35</v>
      </c>
      <c r="F30">
        <v>45</v>
      </c>
      <c r="G30">
        <v>15</v>
      </c>
      <c r="H30">
        <v>22.5</v>
      </c>
      <c r="I30">
        <v>22.5</v>
      </c>
    </row>
    <row r="31" spans="1:19" x14ac:dyDescent="0.15">
      <c r="A31" s="134" t="str">
        <f t="shared" si="1"/>
        <v>CP11TT 80° Flat Fan</v>
      </c>
      <c r="B31">
        <v>16</v>
      </c>
      <c r="C31">
        <v>14</v>
      </c>
      <c r="D31">
        <v>85</v>
      </c>
      <c r="E31">
        <v>35</v>
      </c>
      <c r="F31">
        <v>45</v>
      </c>
      <c r="G31">
        <v>15</v>
      </c>
      <c r="H31">
        <v>22.5</v>
      </c>
      <c r="I31">
        <v>22.5</v>
      </c>
    </row>
    <row r="32" spans="1:19" x14ac:dyDescent="0.15">
      <c r="A32" s="134" t="str">
        <f t="shared" si="1"/>
        <v>CP11TT Straight Stream</v>
      </c>
      <c r="B32">
        <v>15.5</v>
      </c>
      <c r="C32">
        <v>9.5</v>
      </c>
      <c r="D32">
        <v>100</v>
      </c>
      <c r="E32">
        <v>20</v>
      </c>
      <c r="F32">
        <v>45</v>
      </c>
      <c r="G32">
        <v>15</v>
      </c>
      <c r="H32">
        <v>7.5</v>
      </c>
      <c r="I32">
        <v>7.5</v>
      </c>
    </row>
    <row r="33" spans="1:9" x14ac:dyDescent="0.15">
      <c r="A33" s="134" t="str">
        <f t="shared" si="1"/>
        <v>Standard 40° Flat Fan</v>
      </c>
      <c r="B33">
        <v>16</v>
      </c>
      <c r="C33">
        <v>14</v>
      </c>
      <c r="D33">
        <v>85</v>
      </c>
      <c r="E33">
        <v>35</v>
      </c>
      <c r="F33">
        <v>45</v>
      </c>
      <c r="G33">
        <v>15</v>
      </c>
      <c r="H33">
        <v>22.5</v>
      </c>
      <c r="I33">
        <v>22.5</v>
      </c>
    </row>
    <row r="34" spans="1:9" x14ac:dyDescent="0.15">
      <c r="A34" s="134" t="str">
        <f t="shared" si="1"/>
        <v>Standard 80° Flat Fan</v>
      </c>
      <c r="B34">
        <v>16</v>
      </c>
      <c r="C34">
        <v>14</v>
      </c>
      <c r="D34">
        <v>85</v>
      </c>
      <c r="E34">
        <v>35</v>
      </c>
      <c r="F34">
        <v>45</v>
      </c>
      <c r="G34">
        <v>15</v>
      </c>
      <c r="H34">
        <v>22.5</v>
      </c>
      <c r="I34">
        <v>22.5</v>
      </c>
    </row>
    <row r="35" spans="1:9" x14ac:dyDescent="0.15">
      <c r="A35" s="134" t="str">
        <f t="shared" si="1"/>
        <v>Steel Disc Core Straight Stream</v>
      </c>
      <c r="B35">
        <v>9</v>
      </c>
      <c r="C35">
        <v>7</v>
      </c>
      <c r="D35">
        <v>100</v>
      </c>
      <c r="E35">
        <v>20</v>
      </c>
      <c r="F35">
        <v>45</v>
      </c>
      <c r="G35">
        <v>15</v>
      </c>
      <c r="H35">
        <v>7.5</v>
      </c>
      <c r="I35">
        <v>7.5</v>
      </c>
    </row>
    <row r="36" spans="1:9" x14ac:dyDescent="0.15">
      <c r="A36" s="134" t="str">
        <f t="shared" si="1"/>
        <v>Ceramic Disc Core Straight Stream</v>
      </c>
      <c r="B36">
        <v>6</v>
      </c>
      <c r="C36">
        <v>4</v>
      </c>
      <c r="D36">
        <v>100</v>
      </c>
      <c r="E36">
        <v>20</v>
      </c>
      <c r="F36">
        <v>45</v>
      </c>
      <c r="G36">
        <v>15</v>
      </c>
      <c r="H36">
        <v>7.5</v>
      </c>
      <c r="I36">
        <v>7.5</v>
      </c>
    </row>
    <row r="37" spans="1:9" x14ac:dyDescent="0.15">
      <c r="A37" s="134" t="str">
        <f t="shared" si="1"/>
        <v>CP09 Deflection Angles Only</v>
      </c>
      <c r="B37">
        <v>0.11700000000000001</v>
      </c>
      <c r="C37">
        <v>5.5E-2</v>
      </c>
      <c r="D37">
        <v>85</v>
      </c>
      <c r="E37">
        <v>35</v>
      </c>
      <c r="F37">
        <v>45</v>
      </c>
      <c r="G37">
        <v>15</v>
      </c>
      <c r="H37">
        <v>17.5</v>
      </c>
      <c r="I37">
        <v>12.5</v>
      </c>
    </row>
    <row r="38" spans="1:9" x14ac:dyDescent="0.15">
      <c r="A38" s="134" t="str">
        <f t="shared" si="1"/>
        <v>Davidon TriSet Deflection Angles Only</v>
      </c>
      <c r="B38">
        <v>9.35E-2</v>
      </c>
      <c r="C38">
        <v>3.15E-2</v>
      </c>
      <c r="D38">
        <v>85</v>
      </c>
      <c r="E38">
        <v>35</v>
      </c>
      <c r="F38">
        <v>45</v>
      </c>
      <c r="G38">
        <v>15</v>
      </c>
      <c r="H38">
        <v>33.75</v>
      </c>
      <c r="I38">
        <v>11.25</v>
      </c>
    </row>
    <row r="39" spans="1:9" x14ac:dyDescent="0.15">
      <c r="A39" s="134" t="str">
        <f t="shared" si="1"/>
        <v>CP03</v>
      </c>
      <c r="B39">
        <v>0.11650000000000001</v>
      </c>
      <c r="C39">
        <v>5.5500000000000001E-2</v>
      </c>
      <c r="D39">
        <v>85</v>
      </c>
      <c r="E39">
        <v>35</v>
      </c>
      <c r="F39">
        <v>45</v>
      </c>
      <c r="G39">
        <v>15</v>
      </c>
      <c r="H39">
        <v>60</v>
      </c>
      <c r="I39">
        <v>30</v>
      </c>
    </row>
    <row r="40" spans="1:9" x14ac:dyDescent="0.15">
      <c r="A40" s="134" t="str">
        <f t="shared" si="1"/>
        <v>Steel Disc Core 45</v>
      </c>
      <c r="B40">
        <v>9</v>
      </c>
      <c r="C40">
        <v>7</v>
      </c>
      <c r="D40">
        <v>85</v>
      </c>
      <c r="E40">
        <v>35</v>
      </c>
      <c r="F40">
        <v>45</v>
      </c>
      <c r="G40">
        <v>15</v>
      </c>
      <c r="H40">
        <v>22.5</v>
      </c>
      <c r="I40">
        <v>22.5</v>
      </c>
    </row>
    <row r="41" spans="1:9" x14ac:dyDescent="0.15">
      <c r="A41" s="134" t="str">
        <f t="shared" si="1"/>
        <v>Ceramic Disc Core 45</v>
      </c>
      <c r="B41">
        <v>6</v>
      </c>
      <c r="C41">
        <v>4</v>
      </c>
      <c r="D41">
        <v>85</v>
      </c>
      <c r="E41">
        <v>35</v>
      </c>
      <c r="F41">
        <v>45</v>
      </c>
      <c r="G41">
        <v>15</v>
      </c>
      <c r="H41">
        <v>22.5</v>
      </c>
      <c r="I41">
        <v>22.5</v>
      </c>
    </row>
    <row r="42" spans="1:9" x14ac:dyDescent="0.15">
      <c r="A42" s="134" t="str">
        <f t="shared" si="1"/>
        <v>CP09 Straight Stream Only</v>
      </c>
      <c r="B42">
        <v>0.11700000000000001</v>
      </c>
      <c r="C42">
        <v>5.5E-2</v>
      </c>
      <c r="D42">
        <v>95</v>
      </c>
      <c r="E42">
        <v>25</v>
      </c>
      <c r="F42">
        <v>45</v>
      </c>
      <c r="G42">
        <v>15</v>
      </c>
      <c r="H42">
        <v>0</v>
      </c>
      <c r="I42">
        <v>1</v>
      </c>
    </row>
    <row r="43" spans="1:9" x14ac:dyDescent="0.15">
      <c r="A43" s="134" t="str">
        <f t="shared" si="1"/>
        <v>Davidon TriSet Straight Stream Only</v>
      </c>
      <c r="B43">
        <v>9.35E-2</v>
      </c>
      <c r="C43">
        <v>3.15E-2</v>
      </c>
      <c r="D43">
        <v>95</v>
      </c>
      <c r="E43">
        <v>25</v>
      </c>
      <c r="F43">
        <v>45</v>
      </c>
      <c r="G43">
        <v>15</v>
      </c>
      <c r="H43">
        <v>0</v>
      </c>
      <c r="I43">
        <v>1</v>
      </c>
    </row>
    <row r="44" spans="1:9" x14ac:dyDescent="0.15">
      <c r="A44" s="134" t="str">
        <f t="shared" si="1"/>
        <v>CP11TT 110° Flat Fan</v>
      </c>
      <c r="B44">
        <v>6</v>
      </c>
      <c r="C44">
        <v>2</v>
      </c>
      <c r="D44">
        <v>85</v>
      </c>
      <c r="E44">
        <v>35</v>
      </c>
      <c r="F44">
        <v>45</v>
      </c>
      <c r="G44">
        <v>15</v>
      </c>
      <c r="H44">
        <v>22.5</v>
      </c>
      <c r="I44">
        <v>22.5</v>
      </c>
    </row>
    <row r="45" spans="1:9" x14ac:dyDescent="0.15">
      <c r="A45" s="134">
        <f t="shared" si="1"/>
        <v>0</v>
      </c>
    </row>
    <row r="55" spans="1:29" ht="14" thickBot="1" x14ac:dyDescent="0.2">
      <c r="B55" s="15">
        <v>1</v>
      </c>
      <c r="C55" s="15">
        <v>2</v>
      </c>
      <c r="D55" s="15">
        <v>3</v>
      </c>
      <c r="E55" s="133">
        <v>4</v>
      </c>
      <c r="F55" s="133">
        <v>5</v>
      </c>
      <c r="G55" s="133">
        <v>6</v>
      </c>
      <c r="H55" s="133">
        <v>7</v>
      </c>
      <c r="I55" s="133">
        <v>8</v>
      </c>
      <c r="J55" s="133">
        <v>9</v>
      </c>
      <c r="K55" s="133">
        <v>10</v>
      </c>
      <c r="L55" s="133">
        <v>11</v>
      </c>
      <c r="M55" s="133">
        <v>12</v>
      </c>
      <c r="N55" s="133">
        <v>13</v>
      </c>
      <c r="O55" s="133">
        <v>14</v>
      </c>
      <c r="P55" s="133">
        <v>15</v>
      </c>
      <c r="Q55" s="15"/>
    </row>
    <row r="56" spans="1:29" ht="12.75" customHeight="1" thickBot="1" x14ac:dyDescent="0.25">
      <c r="A56" s="49" t="s">
        <v>25</v>
      </c>
      <c r="B56" s="136" t="s">
        <v>55</v>
      </c>
      <c r="C56" s="53" t="s">
        <v>29</v>
      </c>
      <c r="D56" s="53" t="s">
        <v>31</v>
      </c>
      <c r="E56" s="53" t="s">
        <v>37</v>
      </c>
      <c r="F56" s="53" t="s">
        <v>30</v>
      </c>
      <c r="G56" s="53" t="s">
        <v>57</v>
      </c>
      <c r="H56" s="53" t="s">
        <v>56</v>
      </c>
      <c r="I56" s="53" t="s">
        <v>58</v>
      </c>
      <c r="J56" s="53" t="s">
        <v>59</v>
      </c>
      <c r="K56" s="53" t="s">
        <v>60</v>
      </c>
      <c r="L56" s="53" t="s">
        <v>61</v>
      </c>
      <c r="M56" s="53" t="s">
        <v>62</v>
      </c>
      <c r="N56" s="53" t="s">
        <v>63</v>
      </c>
      <c r="O56" s="53" t="s">
        <v>64</v>
      </c>
      <c r="P56" s="54" t="s">
        <v>65</v>
      </c>
    </row>
    <row r="57" spans="1:29" ht="12.75" customHeight="1" x14ac:dyDescent="0.15">
      <c r="A57" s="134" t="str">
        <f>A2</f>
        <v>CP11TT 20° Flat Fan</v>
      </c>
      <c r="B57">
        <v>258.69988418999998</v>
      </c>
      <c r="C57">
        <v>57.219527767000002</v>
      </c>
      <c r="D57">
        <v>-82.685601849999998</v>
      </c>
      <c r="E57">
        <v>-33.176453709999997</v>
      </c>
      <c r="F57">
        <v>-72.429231490000006</v>
      </c>
      <c r="G57">
        <v>-40.457552079999999</v>
      </c>
      <c r="H57">
        <v>-11.802427079999999</v>
      </c>
      <c r="I57">
        <v>37.850822919000002</v>
      </c>
      <c r="J57">
        <v>-17.932572919999998</v>
      </c>
      <c r="K57">
        <v>12.095510406000001</v>
      </c>
      <c r="L57">
        <v>16.185968756000001</v>
      </c>
      <c r="M57">
        <v>-6.7902537509999998</v>
      </c>
      <c r="N57">
        <v>3.6039128992</v>
      </c>
      <c r="O57">
        <v>-28.724753799999998</v>
      </c>
      <c r="P57">
        <v>23.654746248999999</v>
      </c>
    </row>
    <row r="58" spans="1:29" ht="12.75" customHeight="1" x14ac:dyDescent="0.15">
      <c r="A58" s="134" t="str">
        <f t="shared" ref="A58:A73" si="2">A3</f>
        <v>CP11TT 40° Flat Fan</v>
      </c>
      <c r="B58">
        <v>219.12739164999999</v>
      </c>
      <c r="C58">
        <v>36.285201852</v>
      </c>
      <c r="D58">
        <v>-41.842876590000003</v>
      </c>
      <c r="E58">
        <v>-13.736255529999999</v>
      </c>
      <c r="F58">
        <v>-37.047663659999998</v>
      </c>
      <c r="G58">
        <v>-21.530683960000001</v>
      </c>
      <c r="H58">
        <v>4.0173029249000001</v>
      </c>
      <c r="I58">
        <v>14.43611875</v>
      </c>
      <c r="J58">
        <v>-23.019587569999999</v>
      </c>
      <c r="K58">
        <v>6.6914604167</v>
      </c>
      <c r="L58">
        <v>-11.33164375</v>
      </c>
      <c r="M58">
        <v>-12.438357849999999</v>
      </c>
      <c r="N58">
        <v>-7.5354300380000003</v>
      </c>
      <c r="O58">
        <v>-4.5033300379999996</v>
      </c>
      <c r="P58">
        <v>-12.81926337</v>
      </c>
    </row>
    <row r="59" spans="1:29" ht="12.75" customHeight="1" x14ac:dyDescent="0.15">
      <c r="A59" s="134" t="str">
        <f t="shared" si="2"/>
        <v>CP11TT 80° Flat Fan</v>
      </c>
      <c r="B59">
        <v>178.30550661000001</v>
      </c>
      <c r="C59">
        <v>31.730058332999999</v>
      </c>
      <c r="D59">
        <v>-22.989153309999999</v>
      </c>
      <c r="E59">
        <v>-8.8091884240000002</v>
      </c>
      <c r="F59">
        <v>-28.1366163</v>
      </c>
      <c r="G59">
        <v>-3.1650008789999999</v>
      </c>
      <c r="H59">
        <v>-0.65992471100000005</v>
      </c>
      <c r="I59">
        <v>9.5428614583000009</v>
      </c>
      <c r="J59">
        <v>-24.87200352</v>
      </c>
      <c r="K59">
        <v>6.4700385417000001</v>
      </c>
      <c r="L59">
        <v>-1.9501385419999999</v>
      </c>
      <c r="M59">
        <v>-19.45153406</v>
      </c>
      <c r="N59">
        <v>-15.403025469999999</v>
      </c>
      <c r="O59">
        <v>2.9759745292000002</v>
      </c>
      <c r="P59">
        <v>-13.2493588</v>
      </c>
    </row>
    <row r="60" spans="1:29" ht="12.75" customHeight="1" x14ac:dyDescent="0.15">
      <c r="A60" s="134" t="str">
        <f t="shared" si="2"/>
        <v>CP11TT Straight Stream</v>
      </c>
      <c r="B60">
        <v>354.88618437000002</v>
      </c>
      <c r="C60">
        <v>-9.4741959310000006</v>
      </c>
      <c r="D60">
        <v>-100.8257945</v>
      </c>
      <c r="E60">
        <v>12.201183862000001</v>
      </c>
      <c r="F60">
        <v>-46.759955220000002</v>
      </c>
      <c r="G60">
        <v>-12.1579633</v>
      </c>
      <c r="H60">
        <v>-9.1156269919999993</v>
      </c>
      <c r="I60">
        <v>19.811365419000001</v>
      </c>
      <c r="J60">
        <v>22.014426490999998</v>
      </c>
      <c r="K60">
        <v>19.407127595999999</v>
      </c>
      <c r="L60">
        <v>22.078526797999999</v>
      </c>
      <c r="M60">
        <v>-68.146898780000001</v>
      </c>
      <c r="N60">
        <v>11.685526127999999</v>
      </c>
      <c r="O60">
        <v>-0.87149278500000005</v>
      </c>
      <c r="P60">
        <v>35.620339487999999</v>
      </c>
      <c r="V60" s="42"/>
    </row>
    <row r="61" spans="1:29" ht="12.75" customHeight="1" x14ac:dyDescent="0.15">
      <c r="A61" s="134" t="str">
        <f t="shared" si="2"/>
        <v>Standard 40° Flat Fan</v>
      </c>
      <c r="B61">
        <v>219.20897685</v>
      </c>
      <c r="C61">
        <v>38.115369377999997</v>
      </c>
      <c r="D61">
        <v>-38.785145329999999</v>
      </c>
      <c r="E61">
        <v>-10.92782128</v>
      </c>
      <c r="F61">
        <v>-14.29929997</v>
      </c>
      <c r="G61">
        <v>-25.092717109999999</v>
      </c>
      <c r="H61">
        <v>-43.245127170000004</v>
      </c>
      <c r="I61">
        <v>-10.702779339999999</v>
      </c>
      <c r="J61">
        <v>3.5065187508000002</v>
      </c>
      <c r="K61">
        <v>-11.18570738</v>
      </c>
      <c r="L61">
        <v>-2.869774042</v>
      </c>
      <c r="M61">
        <v>-22.697671830000001</v>
      </c>
      <c r="N61">
        <v>-10.65752221</v>
      </c>
      <c r="O61">
        <v>15.88926026</v>
      </c>
      <c r="P61">
        <v>8.2585727861000002</v>
      </c>
    </row>
    <row r="62" spans="1:29" ht="12.75" customHeight="1" x14ac:dyDescent="0.15">
      <c r="A62" s="134" t="str">
        <f t="shared" si="2"/>
        <v>Standard 80° Flat Fan</v>
      </c>
      <c r="B62">
        <v>189.07713974000001</v>
      </c>
      <c r="C62">
        <v>30.132222042999999</v>
      </c>
      <c r="D62">
        <v>-25.726811059999999</v>
      </c>
      <c r="E62">
        <v>-22.6996027</v>
      </c>
      <c r="F62">
        <v>-4.219383884</v>
      </c>
      <c r="G62">
        <v>-20.843215659999998</v>
      </c>
      <c r="H62">
        <v>-14.94350195</v>
      </c>
      <c r="I62">
        <v>4.2240993062000003</v>
      </c>
      <c r="J62">
        <v>-6.4095804669999996</v>
      </c>
      <c r="K62">
        <v>-14.51498683</v>
      </c>
      <c r="L62">
        <v>4.7881798402999998</v>
      </c>
      <c r="M62">
        <v>-12.59829678</v>
      </c>
      <c r="N62">
        <v>-19.780609890000001</v>
      </c>
      <c r="O62">
        <v>10.044568744999999</v>
      </c>
      <c r="P62">
        <v>11.011434073</v>
      </c>
    </row>
    <row r="63" spans="1:29" ht="12.75" customHeight="1" x14ac:dyDescent="0.15">
      <c r="A63" s="134" t="str">
        <f t="shared" si="2"/>
        <v>Steel Disc Core Straight Stream</v>
      </c>
      <c r="B63">
        <v>316.08281751999999</v>
      </c>
      <c r="C63">
        <v>-101.975301</v>
      </c>
      <c r="D63">
        <v>-121.21044449999999</v>
      </c>
      <c r="E63">
        <v>-2.455156809</v>
      </c>
      <c r="F63">
        <v>-36.226984999999999</v>
      </c>
      <c r="G63">
        <v>42.995068990999997</v>
      </c>
      <c r="H63">
        <v>23.348156685999999</v>
      </c>
      <c r="I63">
        <v>58.246345474999998</v>
      </c>
      <c r="J63">
        <v>46.273730489999998</v>
      </c>
      <c r="K63">
        <v>57.356959672000002</v>
      </c>
      <c r="L63">
        <v>18.198888279999998</v>
      </c>
      <c r="M63">
        <v>42.044449989</v>
      </c>
      <c r="N63">
        <v>3.2826697731999999</v>
      </c>
      <c r="O63">
        <v>22.889918481999999</v>
      </c>
      <c r="P63">
        <v>-7.9825318239999996</v>
      </c>
      <c r="Y63" s="42"/>
      <c r="Z63" s="42"/>
      <c r="AA63" s="42"/>
      <c r="AB63" s="42"/>
      <c r="AC63" s="42"/>
    </row>
    <row r="64" spans="1:29" ht="12.75" customHeight="1" x14ac:dyDescent="0.15">
      <c r="A64" s="134" t="str">
        <f t="shared" si="2"/>
        <v>Ceramic Disc Core Straight Stream</v>
      </c>
      <c r="B64">
        <v>376.36729872000001</v>
      </c>
      <c r="C64">
        <v>-62.13697621</v>
      </c>
      <c r="D64">
        <v>-151.3552238</v>
      </c>
      <c r="E64">
        <v>0.53951963219999999</v>
      </c>
      <c r="F64">
        <v>-69.704727700000007</v>
      </c>
      <c r="G64">
        <v>52.031225368999998</v>
      </c>
      <c r="H64">
        <v>11.403026509</v>
      </c>
      <c r="I64">
        <v>54.603344141999997</v>
      </c>
      <c r="J64">
        <v>67.991261250999997</v>
      </c>
      <c r="K64">
        <v>16.717210360999999</v>
      </c>
      <c r="L64">
        <v>15.185752298000001</v>
      </c>
      <c r="M64">
        <v>34.212435266999996</v>
      </c>
      <c r="N64">
        <v>2.9389484453999999</v>
      </c>
      <c r="O64">
        <v>-32.138333209999999</v>
      </c>
      <c r="P64">
        <v>53.503067164000001</v>
      </c>
      <c r="Y64" s="42"/>
      <c r="Z64" s="42"/>
      <c r="AA64" s="42"/>
      <c r="AB64" s="42"/>
      <c r="AC64" s="42"/>
    </row>
    <row r="65" spans="1:29" ht="12.75" customHeight="1" x14ac:dyDescent="0.15">
      <c r="A65" s="134" t="str">
        <f t="shared" si="2"/>
        <v>CP09 Deflection Angles Only</v>
      </c>
      <c r="B65">
        <v>216.90589137000001</v>
      </c>
      <c r="C65">
        <v>29.836997265000001</v>
      </c>
      <c r="D65">
        <v>-89.382815669999999</v>
      </c>
      <c r="E65">
        <v>-7.9128323680000001</v>
      </c>
      <c r="F65">
        <v>-25.876392110000001</v>
      </c>
      <c r="G65">
        <v>-31.1212433</v>
      </c>
      <c r="H65">
        <v>5.8000046598999999</v>
      </c>
      <c r="I65">
        <v>24.070275976000001</v>
      </c>
      <c r="J65">
        <v>-12.139906119999999</v>
      </c>
      <c r="K65">
        <v>-0.203251495</v>
      </c>
      <c r="L65">
        <v>5.5320436729000004</v>
      </c>
      <c r="M65">
        <v>-12.789234220000001</v>
      </c>
      <c r="N65">
        <v>4.8510360390000002</v>
      </c>
      <c r="O65">
        <v>8.7056610635999991</v>
      </c>
      <c r="P65">
        <v>0</v>
      </c>
      <c r="Y65" s="42"/>
      <c r="Z65" s="42"/>
      <c r="AA65" s="42"/>
      <c r="AB65" s="42"/>
      <c r="AC65" s="42"/>
    </row>
    <row r="66" spans="1:29" ht="12.75" customHeight="1" x14ac:dyDescent="0.15">
      <c r="A66" s="134" t="str">
        <f t="shared" si="2"/>
        <v>Davidon TriSet Deflection Angles Only</v>
      </c>
      <c r="B66">
        <v>182.06525558999999</v>
      </c>
      <c r="C66">
        <v>-9.400924303</v>
      </c>
      <c r="D66">
        <v>-68.675917830000003</v>
      </c>
      <c r="E66">
        <v>-20.519885290000001</v>
      </c>
      <c r="F66">
        <v>-15.05034064</v>
      </c>
      <c r="G66">
        <v>17.607124328000001</v>
      </c>
      <c r="H66" s="42">
        <v>0.37072525010000001</v>
      </c>
      <c r="I66">
        <v>36.312050567999997</v>
      </c>
      <c r="J66">
        <v>-20.575839989999999</v>
      </c>
      <c r="K66">
        <v>-10.23873262</v>
      </c>
      <c r="L66">
        <v>-8.3894038319999993</v>
      </c>
      <c r="M66">
        <v>-29.752386959999999</v>
      </c>
      <c r="N66">
        <v>8.9682000179999992</v>
      </c>
      <c r="O66">
        <v>26.432029630999999</v>
      </c>
      <c r="P66">
        <v>0</v>
      </c>
      <c r="Y66" s="42"/>
      <c r="Z66" s="42"/>
      <c r="AA66" s="42"/>
      <c r="AB66" s="42"/>
      <c r="AC66" s="42"/>
    </row>
    <row r="67" spans="1:29" ht="12.75" customHeight="1" x14ac:dyDescent="0.15">
      <c r="A67" s="134" t="str">
        <f t="shared" si="2"/>
        <v>CP03</v>
      </c>
      <c r="B67">
        <v>155.70223203</v>
      </c>
      <c r="C67">
        <v>15.176918015</v>
      </c>
      <c r="D67">
        <v>-55.05954569</v>
      </c>
      <c r="E67">
        <v>-7.3332759589999998</v>
      </c>
      <c r="F67">
        <v>-35.8510031</v>
      </c>
      <c r="G67">
        <v>-7.8857826810000002</v>
      </c>
      <c r="H67">
        <v>-3.8931175539999998</v>
      </c>
      <c r="I67">
        <v>7.9703470279999999</v>
      </c>
      <c r="J67">
        <v>-10.50766235</v>
      </c>
      <c r="K67">
        <v>9.3877475137000008</v>
      </c>
      <c r="L67">
        <v>4.3142451194999998</v>
      </c>
      <c r="M67">
        <v>3.8580331016999998</v>
      </c>
      <c r="N67">
        <v>-8.2828669339999994</v>
      </c>
      <c r="O67">
        <v>6.4787962534999997</v>
      </c>
      <c r="P67">
        <v>18.987240198999999</v>
      </c>
      <c r="Y67" s="42"/>
      <c r="Z67" s="42"/>
      <c r="AA67" s="42"/>
      <c r="AB67" s="42"/>
      <c r="AC67" s="42"/>
    </row>
    <row r="68" spans="1:29" ht="12.75" customHeight="1" x14ac:dyDescent="0.15">
      <c r="A68" s="134" t="str">
        <f t="shared" si="2"/>
        <v>Steel Disc Core 45</v>
      </c>
      <c r="B68">
        <v>141.29401050000001</v>
      </c>
      <c r="C68">
        <v>9.0150116331000003</v>
      </c>
      <c r="D68">
        <v>-13.048221979999999</v>
      </c>
      <c r="E68">
        <v>-21.89044389</v>
      </c>
      <c r="F68">
        <v>-0.29610029700000001</v>
      </c>
      <c r="G68">
        <v>2.0591266200999998</v>
      </c>
      <c r="H68">
        <v>4.7770278741999999</v>
      </c>
      <c r="I68">
        <v>5.3677525841999998</v>
      </c>
      <c r="J68">
        <v>6.8301330482999996</v>
      </c>
      <c r="K68">
        <v>-13.194511520000001</v>
      </c>
      <c r="L68">
        <v>-5.9717884239999997</v>
      </c>
      <c r="M68">
        <v>-44.928675239999997</v>
      </c>
      <c r="N68">
        <v>-21.640095169999999</v>
      </c>
      <c r="O68">
        <v>23.987667326</v>
      </c>
      <c r="P68">
        <v>14.408904804000001</v>
      </c>
      <c r="Y68" s="42"/>
      <c r="Z68" s="42"/>
      <c r="AA68" s="42"/>
      <c r="AB68" s="42"/>
      <c r="AC68" s="42"/>
    </row>
    <row r="69" spans="1:29" ht="12.75" customHeight="1" x14ac:dyDescent="0.15">
      <c r="A69" s="134" t="str">
        <f t="shared" si="2"/>
        <v>Ceramic Disc Core 45</v>
      </c>
      <c r="B69">
        <v>114.58040139000001</v>
      </c>
      <c r="C69">
        <v>21.127969237999999</v>
      </c>
      <c r="D69">
        <v>-11.216792570000001</v>
      </c>
      <c r="E69">
        <v>-9.4581046769999997</v>
      </c>
      <c r="F69">
        <v>-4.9367973330000003</v>
      </c>
      <c r="G69">
        <v>-2.1706066669999999</v>
      </c>
      <c r="H69">
        <v>-2.703258076</v>
      </c>
      <c r="I69">
        <v>3.6624164078999999</v>
      </c>
      <c r="J69">
        <v>-1.2045983</v>
      </c>
      <c r="K69">
        <v>-2.4608748550000001</v>
      </c>
      <c r="L69">
        <v>3.0117500701000002</v>
      </c>
      <c r="M69">
        <v>-2.2836698489999998</v>
      </c>
      <c r="N69">
        <v>-6.9932106000000003</v>
      </c>
      <c r="O69">
        <v>7.1223791698000003</v>
      </c>
      <c r="P69">
        <v>4.9723595833000003</v>
      </c>
      <c r="W69" s="42"/>
      <c r="X69" s="42"/>
      <c r="Y69" s="42"/>
      <c r="Z69" s="42"/>
      <c r="AA69" s="42"/>
      <c r="AB69" s="42"/>
      <c r="AC69" s="42"/>
    </row>
    <row r="70" spans="1:29" ht="12.75" customHeight="1" x14ac:dyDescent="0.15">
      <c r="A70" s="134" t="str">
        <f t="shared" si="2"/>
        <v>CP09 Straight Stream Only</v>
      </c>
      <c r="B70" s="42">
        <v>417.59520658999998</v>
      </c>
      <c r="C70" s="42">
        <v>-38.555915419999998</v>
      </c>
      <c r="D70" s="42">
        <v>-171.04695609999999</v>
      </c>
      <c r="E70" s="42">
        <v>-4.3782199049999999</v>
      </c>
      <c r="F70" s="186">
        <v>0</v>
      </c>
      <c r="G70" s="42">
        <v>6.0470186309000002</v>
      </c>
      <c r="H70" s="42">
        <v>53.021421085</v>
      </c>
      <c r="I70" s="42">
        <v>15.573319578</v>
      </c>
      <c r="J70" s="186">
        <v>0</v>
      </c>
      <c r="K70" s="186">
        <v>0</v>
      </c>
      <c r="L70" s="186">
        <v>0</v>
      </c>
      <c r="M70" s="42">
        <v>-73.947027869999999</v>
      </c>
      <c r="N70" s="42">
        <v>58.740670921000003</v>
      </c>
      <c r="O70" s="42">
        <v>-40.606152440000002</v>
      </c>
      <c r="P70" s="186">
        <v>0</v>
      </c>
      <c r="Y70" s="42"/>
      <c r="Z70" s="42"/>
      <c r="AA70" s="42"/>
      <c r="AB70" s="42"/>
      <c r="AC70" s="42"/>
    </row>
    <row r="71" spans="1:29" ht="12.75" customHeight="1" x14ac:dyDescent="0.15">
      <c r="A71" s="134" t="str">
        <f t="shared" si="2"/>
        <v>Davidon TriSet Straight Stream Only</v>
      </c>
      <c r="B71" s="42">
        <v>498.02388568999999</v>
      </c>
      <c r="C71" s="42">
        <v>-119.5143909</v>
      </c>
      <c r="D71" s="42">
        <v>-363.94619560000001</v>
      </c>
      <c r="E71" s="42">
        <v>71.740019851</v>
      </c>
      <c r="F71" s="186">
        <v>0</v>
      </c>
      <c r="G71" s="42">
        <v>85.065709690000006</v>
      </c>
      <c r="H71" s="42">
        <v>-19.391350710000001</v>
      </c>
      <c r="I71" s="42">
        <v>-22.886802079999999</v>
      </c>
      <c r="J71" s="186">
        <v>0</v>
      </c>
      <c r="K71" s="186">
        <v>0</v>
      </c>
      <c r="L71" s="186">
        <v>0</v>
      </c>
      <c r="M71" s="42">
        <v>43.503716023999999</v>
      </c>
      <c r="N71" s="42">
        <v>169.96931617999999</v>
      </c>
      <c r="O71" s="42">
        <v>-67.718183819999993</v>
      </c>
      <c r="P71" s="186">
        <v>0</v>
      </c>
      <c r="V71" s="42"/>
      <c r="Y71" s="42"/>
      <c r="Z71" s="42"/>
      <c r="AA71" s="42"/>
      <c r="AB71" s="42"/>
      <c r="AC71" s="42"/>
    </row>
    <row r="72" spans="1:29" ht="12.75" customHeight="1" x14ac:dyDescent="0.15">
      <c r="A72" s="134" t="str">
        <f t="shared" si="2"/>
        <v>CP11TT 110° Flat Fan</v>
      </c>
      <c r="B72">
        <v>171.93911610000001</v>
      </c>
      <c r="C72">
        <v>18.545332407</v>
      </c>
      <c r="D72">
        <v>-15.88783241</v>
      </c>
      <c r="E72">
        <v>-4.414769444</v>
      </c>
      <c r="F72">
        <v>-2.7343620369999999</v>
      </c>
      <c r="G72">
        <v>-5.4097177079999996</v>
      </c>
      <c r="H72">
        <v>-3.9961885420000001</v>
      </c>
      <c r="I72">
        <v>2.6306052083</v>
      </c>
      <c r="J72">
        <v>-1.9837093750000001</v>
      </c>
      <c r="K72">
        <v>-15.19816563</v>
      </c>
      <c r="L72">
        <v>3.4434468749999998</v>
      </c>
      <c r="M72">
        <v>-6.2029132300000001</v>
      </c>
      <c r="N72">
        <v>-26.895079899999999</v>
      </c>
      <c r="O72">
        <v>-0.61907989600000002</v>
      </c>
      <c r="P72">
        <v>-19.03691323</v>
      </c>
      <c r="Y72" s="42"/>
      <c r="Z72" s="42"/>
      <c r="AA72" s="42"/>
      <c r="AB72" s="42"/>
      <c r="AC72" s="42"/>
    </row>
    <row r="73" spans="1:29" ht="12.75" customHeight="1" x14ac:dyDescent="0.15">
      <c r="A73" s="134">
        <f t="shared" si="2"/>
        <v>0</v>
      </c>
      <c r="Y73" s="42"/>
      <c r="Z73" s="42"/>
      <c r="AA73" s="42"/>
      <c r="AB73" s="42"/>
      <c r="AC73" s="42"/>
    </row>
    <row r="74" spans="1:29" ht="12.75" customHeight="1" x14ac:dyDescent="0.15">
      <c r="A74" s="4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6"/>
      <c r="Y74" s="42"/>
      <c r="Z74" s="42"/>
      <c r="AA74" s="42"/>
      <c r="AB74" s="42"/>
      <c r="AC74" s="42"/>
    </row>
    <row r="75" spans="1:29" ht="12.75" customHeight="1" thickBot="1" x14ac:dyDescent="0.2">
      <c r="A75" s="44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8"/>
      <c r="Y75" s="42"/>
      <c r="Z75" s="42"/>
      <c r="AA75" s="42"/>
      <c r="AB75" s="42"/>
      <c r="AC75" s="42"/>
    </row>
    <row r="76" spans="1:29" s="42" customFormat="1" ht="12.75" customHeight="1" thickBot="1" x14ac:dyDescent="0.2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V76"/>
      <c r="W76"/>
      <c r="X76"/>
    </row>
    <row r="77" spans="1:29" s="42" customFormat="1" ht="15" thickBot="1" x14ac:dyDescent="0.2">
      <c r="A77" s="52" t="s">
        <v>26</v>
      </c>
      <c r="B77" s="136" t="s">
        <v>55</v>
      </c>
      <c r="C77" s="53" t="s">
        <v>29</v>
      </c>
      <c r="D77" s="53" t="s">
        <v>31</v>
      </c>
      <c r="E77" s="53" t="s">
        <v>37</v>
      </c>
      <c r="F77" s="53" t="s">
        <v>30</v>
      </c>
      <c r="G77" s="53" t="s">
        <v>57</v>
      </c>
      <c r="H77" s="53" t="s">
        <v>56</v>
      </c>
      <c r="I77" s="53" t="s">
        <v>58</v>
      </c>
      <c r="J77" s="53" t="s">
        <v>59</v>
      </c>
      <c r="K77" s="53" t="s">
        <v>60</v>
      </c>
      <c r="L77" s="53" t="s">
        <v>61</v>
      </c>
      <c r="M77" s="53" t="s">
        <v>62</v>
      </c>
      <c r="N77" s="53" t="s">
        <v>63</v>
      </c>
      <c r="O77" s="53" t="s">
        <v>64</v>
      </c>
      <c r="P77" s="54" t="s">
        <v>65</v>
      </c>
    </row>
    <row r="78" spans="1:29" s="42" customFormat="1" x14ac:dyDescent="0.15">
      <c r="A78" s="134" t="str">
        <f>A2</f>
        <v>CP11TT 20° Flat Fan</v>
      </c>
      <c r="B78">
        <v>621.39919635000001</v>
      </c>
      <c r="C78">
        <v>146.24868057</v>
      </c>
      <c r="D78">
        <v>-152.44648609999999</v>
      </c>
      <c r="E78">
        <v>-48.427171319999999</v>
      </c>
      <c r="F78">
        <v>-116.74621759999999</v>
      </c>
      <c r="G78">
        <v>-88.254057309999993</v>
      </c>
      <c r="H78">
        <v>-17.812557330000001</v>
      </c>
      <c r="I78">
        <v>56.053609399999999</v>
      </c>
      <c r="J78">
        <v>-32.950609389999997</v>
      </c>
      <c r="K78">
        <v>0.18647398749999999</v>
      </c>
      <c r="L78">
        <v>10.284973975</v>
      </c>
      <c r="M78">
        <v>-33.188451260000001</v>
      </c>
      <c r="N78">
        <v>-0.697284609</v>
      </c>
      <c r="O78">
        <v>-59.909784610000003</v>
      </c>
      <c r="P78">
        <v>18.901715391</v>
      </c>
    </row>
    <row r="79" spans="1:29" s="42" customFormat="1" x14ac:dyDescent="0.15">
      <c r="A79" s="134" t="str">
        <f t="shared" ref="A79:A94" si="3">A3</f>
        <v>CP11TT 40° Flat Fan</v>
      </c>
      <c r="B79">
        <v>531.68701906000001</v>
      </c>
      <c r="C79">
        <v>123.42454721999999</v>
      </c>
      <c r="D79">
        <v>-85.31013342</v>
      </c>
      <c r="E79">
        <v>-30.159520860000001</v>
      </c>
      <c r="F79">
        <v>-85.463803409999997</v>
      </c>
      <c r="G79">
        <v>-53.42786108</v>
      </c>
      <c r="H79">
        <v>-6.3706451619999998</v>
      </c>
      <c r="I79">
        <v>32.459380207999999</v>
      </c>
      <c r="J79">
        <v>-59.416312480000002</v>
      </c>
      <c r="K79">
        <v>21.216155208</v>
      </c>
      <c r="L79">
        <v>-24.21198021</v>
      </c>
      <c r="M79">
        <v>-55.572982009999997</v>
      </c>
      <c r="N79">
        <v>-28.205240629999999</v>
      </c>
      <c r="O79">
        <v>-15.22394063</v>
      </c>
      <c r="P79">
        <v>-37.401240629999997</v>
      </c>
    </row>
    <row r="80" spans="1:29" s="42" customFormat="1" x14ac:dyDescent="0.15">
      <c r="A80" s="134" t="str">
        <f t="shared" si="3"/>
        <v>CP11TT 80° Flat Fan</v>
      </c>
      <c r="B80">
        <v>419.9750631</v>
      </c>
      <c r="C80">
        <v>93.876868518999999</v>
      </c>
      <c r="D80">
        <v>-37.518463189999999</v>
      </c>
      <c r="E80">
        <v>-18.152626779999999</v>
      </c>
      <c r="F80">
        <v>-72.269324519999998</v>
      </c>
      <c r="G80">
        <v>-16.10912867</v>
      </c>
      <c r="H80">
        <v>-1.5674071650000001</v>
      </c>
      <c r="I80">
        <v>18.242772917</v>
      </c>
      <c r="J80">
        <v>-61.031656429999998</v>
      </c>
      <c r="K80">
        <v>29.74716875</v>
      </c>
      <c r="L80">
        <v>-1.5817270830000001</v>
      </c>
      <c r="M80">
        <v>-61.778126090000001</v>
      </c>
      <c r="N80">
        <v>-26.96677429</v>
      </c>
      <c r="O80">
        <v>6.7362257061999999</v>
      </c>
      <c r="P80">
        <v>-48.175107629999999</v>
      </c>
    </row>
    <row r="81" spans="1:16" s="42" customFormat="1" x14ac:dyDescent="0.15">
      <c r="A81" s="134" t="str">
        <f t="shared" si="3"/>
        <v>CP11TT Straight Stream</v>
      </c>
      <c r="B81">
        <v>778.76136140000006</v>
      </c>
      <c r="C81">
        <v>-11.01201856</v>
      </c>
      <c r="D81">
        <v>-203.3350599</v>
      </c>
      <c r="E81">
        <v>41.699376841999999</v>
      </c>
      <c r="F81">
        <v>-121.3210957</v>
      </c>
      <c r="G81">
        <v>-21.955512389999999</v>
      </c>
      <c r="H81">
        <v>-36.04902517</v>
      </c>
      <c r="I81">
        <v>25.197619869</v>
      </c>
      <c r="J81">
        <v>55.918554854</v>
      </c>
      <c r="K81">
        <v>46.316701187</v>
      </c>
      <c r="L81">
        <v>16.957017186000002</v>
      </c>
      <c r="M81">
        <v>-97.647330609999997</v>
      </c>
      <c r="N81">
        <v>37.875034397</v>
      </c>
      <c r="O81">
        <v>-35.336793419999999</v>
      </c>
      <c r="P81">
        <v>58.171993317000002</v>
      </c>
    </row>
    <row r="82" spans="1:16" s="42" customFormat="1" x14ac:dyDescent="0.15">
      <c r="A82" s="134" t="str">
        <f t="shared" si="3"/>
        <v>Standard 40° Flat Fan</v>
      </c>
      <c r="B82">
        <v>532.20480356999997</v>
      </c>
      <c r="C82">
        <v>127.13166114000001</v>
      </c>
      <c r="D82">
        <v>-88.45966387</v>
      </c>
      <c r="E82">
        <v>-52.288987390000003</v>
      </c>
      <c r="F82">
        <v>-31.646500320000001</v>
      </c>
      <c r="G82">
        <v>-63.610889270000001</v>
      </c>
      <c r="H82">
        <v>-87.514917130000001</v>
      </c>
      <c r="I82">
        <v>-22.54663257</v>
      </c>
      <c r="J82">
        <v>-7.2111216789999997</v>
      </c>
      <c r="K82">
        <v>-33.869207230000001</v>
      </c>
      <c r="L82">
        <v>-11.69190723</v>
      </c>
      <c r="M82">
        <v>-55.938632259999999</v>
      </c>
      <c r="N82">
        <v>-36.213417499999998</v>
      </c>
      <c r="O82">
        <v>34.903170000000003</v>
      </c>
      <c r="P82">
        <v>23.674119285</v>
      </c>
    </row>
    <row r="83" spans="1:16" s="42" customFormat="1" x14ac:dyDescent="0.15">
      <c r="A83" s="134" t="str">
        <f t="shared" si="3"/>
        <v>Standard 80° Flat Fan</v>
      </c>
      <c r="B83">
        <v>447.38467909000002</v>
      </c>
      <c r="C83">
        <v>98.949415908000006</v>
      </c>
      <c r="D83">
        <v>-66.44140668</v>
      </c>
      <c r="E83">
        <v>-67.670780399999998</v>
      </c>
      <c r="F83">
        <v>-14.2351896</v>
      </c>
      <c r="G83">
        <v>-48.918337600000001</v>
      </c>
      <c r="H83">
        <v>-26.31136884</v>
      </c>
      <c r="I83">
        <v>3.7547019461</v>
      </c>
      <c r="J83">
        <v>-6.4669379469999999</v>
      </c>
      <c r="K83">
        <v>-49.278872560000003</v>
      </c>
      <c r="L83">
        <v>-4.4705896000000002E-2</v>
      </c>
      <c r="M83">
        <v>-26.041354680000001</v>
      </c>
      <c r="N83">
        <v>-37.203204249999999</v>
      </c>
      <c r="O83">
        <v>18.409133184000002</v>
      </c>
      <c r="P83">
        <v>29.761152845000002</v>
      </c>
    </row>
    <row r="84" spans="1:16" s="42" customFormat="1" x14ac:dyDescent="0.15">
      <c r="A84" s="134" t="str">
        <f t="shared" si="3"/>
        <v>Steel Disc Core Straight Stream</v>
      </c>
      <c r="B84">
        <v>810.14458029000002</v>
      </c>
      <c r="C84">
        <v>-152.45942289999999</v>
      </c>
      <c r="D84">
        <v>-232.58296720000001</v>
      </c>
      <c r="E84">
        <v>33.868755053000001</v>
      </c>
      <c r="F84">
        <v>-76.884343079999994</v>
      </c>
      <c r="G84">
        <v>30.901441086999998</v>
      </c>
      <c r="H84">
        <v>-13.910221590000001</v>
      </c>
      <c r="I84">
        <v>40.942049085000001</v>
      </c>
      <c r="J84">
        <v>53.761792290000002</v>
      </c>
      <c r="K84">
        <v>57.895175371999997</v>
      </c>
      <c r="L84">
        <v>2.0886036553</v>
      </c>
      <c r="M84">
        <v>-45.362730030000002</v>
      </c>
      <c r="N84">
        <v>-7.4171932700000003</v>
      </c>
      <c r="O84">
        <v>11.959493416000001</v>
      </c>
      <c r="P84">
        <v>-25.173165099999999</v>
      </c>
    </row>
    <row r="85" spans="1:16" s="42" customFormat="1" x14ac:dyDescent="0.15">
      <c r="A85" s="134" t="str">
        <f t="shared" si="3"/>
        <v>Ceramic Disc Core Straight Stream</v>
      </c>
      <c r="B85">
        <v>885.03904169999998</v>
      </c>
      <c r="C85">
        <v>-50.327885109999997</v>
      </c>
      <c r="D85">
        <v>-293.92275810000001</v>
      </c>
      <c r="E85">
        <v>50.823660637000003</v>
      </c>
      <c r="F85">
        <v>-127.9211651</v>
      </c>
      <c r="G85">
        <v>48.05034509</v>
      </c>
      <c r="H85">
        <v>4.9112042708999999</v>
      </c>
      <c r="I85">
        <v>70.285324291999999</v>
      </c>
      <c r="J85">
        <v>76.881070429000005</v>
      </c>
      <c r="K85">
        <v>14.385083092</v>
      </c>
      <c r="L85">
        <v>-1.6186465290000001</v>
      </c>
      <c r="M85">
        <v>67.705336564999996</v>
      </c>
      <c r="N85">
        <v>-17.975394120000001</v>
      </c>
      <c r="O85">
        <v>-99.407602710000006</v>
      </c>
      <c r="P85">
        <v>85.748434687</v>
      </c>
    </row>
    <row r="86" spans="1:16" s="42" customFormat="1" ht="13.5" customHeight="1" x14ac:dyDescent="0.15">
      <c r="A86" s="134" t="str">
        <f t="shared" si="3"/>
        <v>CP09 Deflection Angles Only</v>
      </c>
      <c r="B86">
        <v>536.66786453999998</v>
      </c>
      <c r="C86">
        <v>106.40130046</v>
      </c>
      <c r="D86">
        <v>-210.05150140000001</v>
      </c>
      <c r="E86">
        <v>-11.65238605</v>
      </c>
      <c r="F86">
        <v>-84.360724140000002</v>
      </c>
      <c r="G86">
        <v>-109.66851320000001</v>
      </c>
      <c r="H86">
        <v>24.840721385999998</v>
      </c>
      <c r="I86">
        <v>52.117698765</v>
      </c>
      <c r="J86">
        <v>-19.046661060000002</v>
      </c>
      <c r="K86">
        <v>17.352963642999999</v>
      </c>
      <c r="L86">
        <v>13.306105702</v>
      </c>
      <c r="M86">
        <v>-13.107444689999999</v>
      </c>
      <c r="N86">
        <v>-1.6732957260000001</v>
      </c>
      <c r="O86">
        <v>-6.2675716220000002</v>
      </c>
      <c r="P86">
        <v>0</v>
      </c>
    </row>
    <row r="87" spans="1:16" s="42" customFormat="1" x14ac:dyDescent="0.15">
      <c r="A87" s="134" t="str">
        <f t="shared" si="3"/>
        <v>Davidon TriSet Deflection Angles Only</v>
      </c>
      <c r="B87" s="42">
        <v>424.09663155999999</v>
      </c>
      <c r="C87" s="42">
        <v>9.0879681979000004</v>
      </c>
      <c r="D87" s="42">
        <v>-114.3327982</v>
      </c>
      <c r="E87" s="42">
        <v>-31.92111405</v>
      </c>
      <c r="F87" s="42">
        <v>-50.852925050000003</v>
      </c>
      <c r="G87" s="42">
        <v>19.410832492000001</v>
      </c>
      <c r="H87" s="42">
        <v>-4.9088232649999997</v>
      </c>
      <c r="I87" s="42">
        <v>63.550769754000001</v>
      </c>
      <c r="J87" s="42">
        <v>-38.575741450000002</v>
      </c>
      <c r="K87" s="42">
        <v>15.391569088000001</v>
      </c>
      <c r="L87" s="42">
        <v>-20.46042581</v>
      </c>
      <c r="M87" s="42">
        <v>-75.749712880000004</v>
      </c>
      <c r="N87" s="42">
        <v>-10.069061830000001</v>
      </c>
      <c r="O87" s="42">
        <v>52.610874430999999</v>
      </c>
      <c r="P87">
        <v>0</v>
      </c>
    </row>
    <row r="88" spans="1:16" s="42" customFormat="1" x14ac:dyDescent="0.15">
      <c r="A88" s="134" t="str">
        <f t="shared" si="3"/>
        <v>CP03</v>
      </c>
      <c r="B88">
        <v>364.13586966000003</v>
      </c>
      <c r="C88">
        <v>69.529035296999993</v>
      </c>
      <c r="D88">
        <v>-114.6227543</v>
      </c>
      <c r="E88">
        <v>-18.206002460000001</v>
      </c>
      <c r="F88">
        <v>-88.155991119999996</v>
      </c>
      <c r="G88">
        <v>-46.237243390000003</v>
      </c>
      <c r="H88">
        <v>-3.0878875410000002</v>
      </c>
      <c r="I88">
        <v>18.531914061999998</v>
      </c>
      <c r="J88">
        <v>-14.48602356</v>
      </c>
      <c r="K88">
        <v>34.464392170000004</v>
      </c>
      <c r="L88">
        <v>4.4844619124999996</v>
      </c>
      <c r="M88">
        <v>-2.682037577</v>
      </c>
      <c r="N88">
        <v>-29.842476229999999</v>
      </c>
      <c r="O88">
        <v>5.9152970586000002</v>
      </c>
      <c r="P88">
        <v>53.467629158999998</v>
      </c>
    </row>
    <row r="89" spans="1:16" s="42" customFormat="1" x14ac:dyDescent="0.15">
      <c r="A89" s="134" t="str">
        <f t="shared" si="3"/>
        <v>Steel Disc Core 45</v>
      </c>
      <c r="B89">
        <v>320.15174954999998</v>
      </c>
      <c r="C89">
        <v>26.409874597000002</v>
      </c>
      <c r="D89">
        <v>-31.059293579999999</v>
      </c>
      <c r="E89">
        <v>-56.224008169999998</v>
      </c>
      <c r="F89">
        <v>-3.9012351889999999</v>
      </c>
      <c r="G89">
        <v>1.3090952815000001</v>
      </c>
      <c r="H89">
        <v>8.8551526574999997</v>
      </c>
      <c r="I89">
        <v>11.518716752</v>
      </c>
      <c r="J89">
        <v>15.180882172</v>
      </c>
      <c r="K89">
        <v>-24.96495621</v>
      </c>
      <c r="L89">
        <v>-17.477890439999999</v>
      </c>
      <c r="M89">
        <v>-102.5287616</v>
      </c>
      <c r="N89">
        <v>-46.96282987</v>
      </c>
      <c r="O89">
        <v>60.066774492999997</v>
      </c>
      <c r="P89">
        <v>33.405659800000002</v>
      </c>
    </row>
    <row r="90" spans="1:16" s="42" customFormat="1" x14ac:dyDescent="0.15">
      <c r="A90" s="134" t="str">
        <f t="shared" si="3"/>
        <v>Ceramic Disc Core 45</v>
      </c>
      <c r="B90">
        <v>260.24563330000001</v>
      </c>
      <c r="C90">
        <v>51.590929189999997</v>
      </c>
      <c r="D90">
        <v>-21.56389063</v>
      </c>
      <c r="E90">
        <v>-20.56838617</v>
      </c>
      <c r="F90">
        <v>-15.784630910000001</v>
      </c>
      <c r="G90">
        <v>-6.5238387619999996</v>
      </c>
      <c r="H90">
        <v>-7.7431479940000001</v>
      </c>
      <c r="I90">
        <v>9.2283094338999998</v>
      </c>
      <c r="J90">
        <v>-3.1504884030000002</v>
      </c>
      <c r="K90">
        <v>-3.1725983129999999</v>
      </c>
      <c r="L90">
        <v>6.4122338653000002</v>
      </c>
      <c r="M90">
        <v>-2.806296718</v>
      </c>
      <c r="N90">
        <v>-15.58648348</v>
      </c>
      <c r="O90">
        <v>9.3630079627999994</v>
      </c>
      <c r="P90">
        <v>5.1628031004999997</v>
      </c>
    </row>
    <row r="91" spans="1:16" s="42" customFormat="1" x14ac:dyDescent="0.15">
      <c r="A91" s="134" t="str">
        <f t="shared" si="3"/>
        <v>CP09 Straight Stream Only</v>
      </c>
      <c r="B91" s="42">
        <v>955.87392867999995</v>
      </c>
      <c r="C91" s="42">
        <v>-7.6908675769999997</v>
      </c>
      <c r="D91" s="42">
        <v>-361.3222055</v>
      </c>
      <c r="E91" s="42">
        <v>58.155388762999998</v>
      </c>
      <c r="F91" s="186">
        <v>0</v>
      </c>
      <c r="G91" s="42">
        <v>-32.138842369999999</v>
      </c>
      <c r="H91" s="42">
        <v>66.601510808</v>
      </c>
      <c r="I91" s="42">
        <v>-11.112730669999999</v>
      </c>
      <c r="J91" s="186">
        <v>0</v>
      </c>
      <c r="K91" s="186">
        <v>0</v>
      </c>
      <c r="L91" s="186">
        <v>0</v>
      </c>
      <c r="M91" s="42">
        <v>-151.9264446</v>
      </c>
      <c r="N91" s="42">
        <v>94.149249398999999</v>
      </c>
      <c r="O91" s="42">
        <v>-59.811650999999998</v>
      </c>
      <c r="P91" s="186">
        <v>0</v>
      </c>
    </row>
    <row r="92" spans="1:16" s="42" customFormat="1" x14ac:dyDescent="0.15">
      <c r="A92" s="134" t="str">
        <f t="shared" si="3"/>
        <v>Davidon TriSet Straight Stream Only</v>
      </c>
      <c r="B92" s="42">
        <v>1148.7007011000001</v>
      </c>
      <c r="C92" s="42">
        <v>-69.368801469999994</v>
      </c>
      <c r="D92" s="42">
        <v>-619.04583079999998</v>
      </c>
      <c r="E92" s="42">
        <v>172.34964735</v>
      </c>
      <c r="F92" s="186">
        <v>0</v>
      </c>
      <c r="G92" s="42">
        <v>21.597847977000001</v>
      </c>
      <c r="H92" s="42">
        <v>-7.9090672160000004</v>
      </c>
      <c r="I92" s="42">
        <v>-32.82854167</v>
      </c>
      <c r="J92" s="186">
        <v>0</v>
      </c>
      <c r="K92" s="186">
        <v>0</v>
      </c>
      <c r="L92" s="186">
        <v>0</v>
      </c>
      <c r="M92" s="42">
        <v>-43.011821179999998</v>
      </c>
      <c r="N92" s="42">
        <v>199.76228431000001</v>
      </c>
      <c r="O92" s="42">
        <v>-24.970049020000001</v>
      </c>
      <c r="P92" s="186">
        <v>0</v>
      </c>
    </row>
    <row r="93" spans="1:16" s="42" customFormat="1" x14ac:dyDescent="0.15">
      <c r="A93" s="134" t="str">
        <f t="shared" si="3"/>
        <v>CP11TT 110° Flat Fan</v>
      </c>
      <c r="B93">
        <v>332.71200734000001</v>
      </c>
      <c r="C93">
        <v>35.946503704000001</v>
      </c>
      <c r="D93">
        <v>-24.93404074</v>
      </c>
      <c r="E93">
        <v>-14.47658889</v>
      </c>
      <c r="F93" s="42">
        <v>-21.304449999999999</v>
      </c>
      <c r="G93" s="42">
        <v>-10.046264580000001</v>
      </c>
      <c r="H93" s="42">
        <v>-6.0311729170000001</v>
      </c>
      <c r="I93" s="42">
        <v>5.3375270833000004</v>
      </c>
      <c r="J93" s="42">
        <v>-8.9298083330000004</v>
      </c>
      <c r="K93">
        <v>-19.450587500000001</v>
      </c>
      <c r="L93" s="42">
        <v>2.6926291667000002</v>
      </c>
      <c r="M93" s="42">
        <v>-8.875786347</v>
      </c>
      <c r="N93" s="42">
        <v>-32.534119680000003</v>
      </c>
      <c r="O93" s="42">
        <v>3.0488803201999999</v>
      </c>
      <c r="P93" s="42">
        <v>-35.265453010000002</v>
      </c>
    </row>
    <row r="94" spans="1:16" s="42" customFormat="1" x14ac:dyDescent="0.15">
      <c r="A94" s="134">
        <f t="shared" si="3"/>
        <v>0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s="42" customFormat="1" ht="15" customHeight="1" x14ac:dyDescent="0.15">
      <c r="A95" s="55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6"/>
    </row>
    <row r="96" spans="1:16" s="42" customFormat="1" ht="15" thickBot="1" x14ac:dyDescent="0.2">
      <c r="A96" s="57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9"/>
    </row>
    <row r="97" spans="1:17" s="42" customFormat="1" ht="14" thickBo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</row>
    <row r="98" spans="1:17" s="42" customFormat="1" ht="15" thickBot="1" x14ac:dyDescent="0.2">
      <c r="A98" s="52" t="s">
        <v>28</v>
      </c>
      <c r="B98" s="136" t="s">
        <v>55</v>
      </c>
      <c r="C98" s="53" t="s">
        <v>29</v>
      </c>
      <c r="D98" s="53" t="s">
        <v>31</v>
      </c>
      <c r="E98" s="53" t="s">
        <v>37</v>
      </c>
      <c r="F98" s="53" t="s">
        <v>30</v>
      </c>
      <c r="G98" s="53" t="s">
        <v>57</v>
      </c>
      <c r="H98" s="53" t="s">
        <v>56</v>
      </c>
      <c r="I98" s="53" t="s">
        <v>58</v>
      </c>
      <c r="J98" s="53" t="s">
        <v>59</v>
      </c>
      <c r="K98" s="53" t="s">
        <v>60</v>
      </c>
      <c r="L98" s="53" t="s">
        <v>61</v>
      </c>
      <c r="M98" s="53" t="s">
        <v>62</v>
      </c>
      <c r="N98" s="53" t="s">
        <v>63</v>
      </c>
      <c r="O98" s="53" t="s">
        <v>64</v>
      </c>
      <c r="P98" s="54" t="s">
        <v>65</v>
      </c>
    </row>
    <row r="99" spans="1:17" s="42" customFormat="1" x14ac:dyDescent="0.15">
      <c r="A99" s="134" t="str">
        <f>A2</f>
        <v>CP11TT 20° Flat Fan</v>
      </c>
      <c r="B99">
        <v>1171.5676285</v>
      </c>
      <c r="C99">
        <v>271.69402312</v>
      </c>
      <c r="D99">
        <v>-232.3355694</v>
      </c>
      <c r="E99">
        <v>-45.011458390000001</v>
      </c>
      <c r="F99">
        <v>-177.64613420000001</v>
      </c>
      <c r="G99">
        <v>-135.5744219</v>
      </c>
      <c r="H99">
        <v>-9.3777969120000009</v>
      </c>
      <c r="I99">
        <v>73.423994788000002</v>
      </c>
      <c r="J99">
        <v>-50.055828089999999</v>
      </c>
      <c r="K99">
        <v>-40.470119789999998</v>
      </c>
      <c r="L99">
        <v>-10.799411429999999</v>
      </c>
      <c r="M99">
        <v>-71.224844469999994</v>
      </c>
      <c r="N99">
        <v>-63.091511269999998</v>
      </c>
      <c r="O99">
        <v>-91.878177620000002</v>
      </c>
      <c r="P99">
        <v>3.5791557291</v>
      </c>
    </row>
    <row r="100" spans="1:17" s="42" customFormat="1" x14ac:dyDescent="0.15">
      <c r="A100" s="134" t="str">
        <f t="shared" ref="A100:A115" si="4">A3</f>
        <v>CP11TT 40° Flat Fan</v>
      </c>
      <c r="B100">
        <v>1003.5010834</v>
      </c>
      <c r="C100">
        <v>280.79045740999999</v>
      </c>
      <c r="D100">
        <v>-157.82673209999999</v>
      </c>
      <c r="E100">
        <v>-42.87710079</v>
      </c>
      <c r="F100">
        <v>-172.31385890000001</v>
      </c>
      <c r="G100">
        <v>-97.745050680000006</v>
      </c>
      <c r="H100">
        <v>-14.14103328</v>
      </c>
      <c r="I100">
        <v>53.413004166999997</v>
      </c>
      <c r="J100">
        <v>-123.87801899999999</v>
      </c>
      <c r="K100">
        <v>17.469962500000001</v>
      </c>
      <c r="L100">
        <v>-46.970120829999999</v>
      </c>
      <c r="M100">
        <v>-107.4298352</v>
      </c>
      <c r="N100">
        <v>-69.075929189999997</v>
      </c>
      <c r="O100">
        <v>-48.838895860000001</v>
      </c>
      <c r="P100">
        <v>-54.370429190000003</v>
      </c>
    </row>
    <row r="101" spans="1:17" s="42" customFormat="1" x14ac:dyDescent="0.15">
      <c r="A101" s="134" t="str">
        <f t="shared" si="4"/>
        <v>CP11TT 80° Flat Fan</v>
      </c>
      <c r="B101">
        <v>771.98346299000002</v>
      </c>
      <c r="C101">
        <v>204.25399074000001</v>
      </c>
      <c r="D101">
        <v>-75.297548919999997</v>
      </c>
      <c r="E101">
        <v>-33.382298650000003</v>
      </c>
      <c r="F101">
        <v>-143.78135349999999</v>
      </c>
      <c r="G101">
        <v>-42.063330579999999</v>
      </c>
      <c r="H101">
        <v>-2.7524630430000001</v>
      </c>
      <c r="I101">
        <v>32.294718750000001</v>
      </c>
      <c r="J101">
        <v>-122.10237429999999</v>
      </c>
      <c r="K101">
        <v>54.691656250000001</v>
      </c>
      <c r="L101">
        <v>-12.852697920000001</v>
      </c>
      <c r="M101">
        <v>-119.0688071</v>
      </c>
      <c r="N101">
        <v>-43.971409129999998</v>
      </c>
      <c r="O101">
        <v>7.3694241996000001</v>
      </c>
      <c r="P101">
        <v>-101.32757580000001</v>
      </c>
    </row>
    <row r="102" spans="1:17" s="42" customFormat="1" x14ac:dyDescent="0.15">
      <c r="A102" s="134" t="str">
        <f t="shared" si="4"/>
        <v>CP11TT Straight Stream</v>
      </c>
      <c r="B102">
        <v>1467.3523811</v>
      </c>
      <c r="C102">
        <v>37.991918472000002</v>
      </c>
      <c r="D102">
        <v>-283.71954369999997</v>
      </c>
      <c r="E102">
        <v>116.35265771</v>
      </c>
      <c r="F102">
        <v>-176.64629009999999</v>
      </c>
      <c r="G102">
        <v>-27.14796432</v>
      </c>
      <c r="H102">
        <v>-32.869519439999998</v>
      </c>
      <c r="I102">
        <v>49.411720269</v>
      </c>
      <c r="J102">
        <v>64.234167094</v>
      </c>
      <c r="K102">
        <v>17.697242037999999</v>
      </c>
      <c r="L102">
        <v>-7.2725402389999996</v>
      </c>
      <c r="M102">
        <v>-75.653013950000002</v>
      </c>
      <c r="N102">
        <v>-17.041718840000001</v>
      </c>
      <c r="O102">
        <v>-86.355449050000004</v>
      </c>
      <c r="P102">
        <v>46.798194199999998</v>
      </c>
    </row>
    <row r="103" spans="1:17" s="42" customFormat="1" x14ac:dyDescent="0.15">
      <c r="A103" s="134" t="str">
        <f t="shared" si="4"/>
        <v>Standard 40° Flat Fan</v>
      </c>
      <c r="B103">
        <v>1003.4350612</v>
      </c>
      <c r="C103">
        <v>286.76192935</v>
      </c>
      <c r="D103">
        <v>-176.52208909999999</v>
      </c>
      <c r="E103">
        <v>-104.6982004</v>
      </c>
      <c r="F103">
        <v>-45.629572330000002</v>
      </c>
      <c r="G103">
        <v>-130.6291928</v>
      </c>
      <c r="H103">
        <v>-161.47859489999999</v>
      </c>
      <c r="I103">
        <v>-43.883116899999997</v>
      </c>
      <c r="J103">
        <v>-15.20800706</v>
      </c>
      <c r="K103">
        <v>-51.22619761</v>
      </c>
      <c r="L103">
        <v>-45.694664279999998</v>
      </c>
      <c r="M103">
        <v>-102.79902079999999</v>
      </c>
      <c r="N103">
        <v>-73.689225870000001</v>
      </c>
      <c r="O103">
        <v>57.821155615999999</v>
      </c>
      <c r="P103">
        <v>21.533183403999999</v>
      </c>
    </row>
    <row r="104" spans="1:17" s="42" customFormat="1" x14ac:dyDescent="0.15">
      <c r="A104" s="134" t="str">
        <f t="shared" si="4"/>
        <v>Standard 80° Flat Fan</v>
      </c>
      <c r="B104">
        <v>828.33614232000002</v>
      </c>
      <c r="C104">
        <v>224.57058463999999</v>
      </c>
      <c r="D104">
        <v>-134.48927610000001</v>
      </c>
      <c r="E104">
        <v>-124.00672590000001</v>
      </c>
      <c r="F104">
        <v>-23.543482019999999</v>
      </c>
      <c r="G104">
        <v>-96.039623230000004</v>
      </c>
      <c r="H104">
        <v>-61.955824309999997</v>
      </c>
      <c r="I104">
        <v>-1.9103314650000001</v>
      </c>
      <c r="J104">
        <v>-5.3595256070000001</v>
      </c>
      <c r="K104">
        <v>-98.252949169999994</v>
      </c>
      <c r="L104">
        <v>-19.852282509999998</v>
      </c>
      <c r="M104">
        <v>-60.766494600000001</v>
      </c>
      <c r="N104">
        <v>-59.400714450000002</v>
      </c>
      <c r="O104">
        <v>33.300298927</v>
      </c>
      <c r="P104">
        <v>49.528765188999998</v>
      </c>
    </row>
    <row r="105" spans="1:17" s="42" customFormat="1" x14ac:dyDescent="0.15">
      <c r="A105" s="134" t="str">
        <f t="shared" si="4"/>
        <v>Steel Disc Core Straight Stream</v>
      </c>
      <c r="B105">
        <v>1627.5020380999999</v>
      </c>
      <c r="C105">
        <v>-146.10695089999999</v>
      </c>
      <c r="D105">
        <v>-324.73926870000003</v>
      </c>
      <c r="E105">
        <v>79.753145079999996</v>
      </c>
      <c r="F105">
        <v>-104.71359940000001</v>
      </c>
      <c r="G105">
        <v>-6.1385517859999998</v>
      </c>
      <c r="H105">
        <v>-58.93253644</v>
      </c>
      <c r="I105">
        <v>52.841353781999999</v>
      </c>
      <c r="J105">
        <v>8.4225739289000003</v>
      </c>
      <c r="K105">
        <v>78.941493221000002</v>
      </c>
      <c r="L105">
        <v>-1.6423264829999999</v>
      </c>
      <c r="M105">
        <v>-289.2714522</v>
      </c>
      <c r="N105">
        <v>-60.020881469999999</v>
      </c>
      <c r="O105">
        <v>54.331172766000002</v>
      </c>
      <c r="P105">
        <v>-69.494844319999999</v>
      </c>
    </row>
    <row r="106" spans="1:17" s="42" customFormat="1" x14ac:dyDescent="0.15">
      <c r="A106" s="134" t="str">
        <f t="shared" si="4"/>
        <v>Ceramic Disc Core Straight Stream</v>
      </c>
      <c r="B106">
        <v>1600.5723754000001</v>
      </c>
      <c r="C106">
        <v>57.986404485000001</v>
      </c>
      <c r="D106">
        <v>-368.36542530000003</v>
      </c>
      <c r="E106">
        <v>111.87131037</v>
      </c>
      <c r="F106">
        <v>-159.9266532</v>
      </c>
      <c r="G106">
        <v>76.503672355999996</v>
      </c>
      <c r="H106">
        <v>-26.29857033</v>
      </c>
      <c r="I106">
        <v>71.245816817999994</v>
      </c>
      <c r="J106">
        <v>63.234534965000002</v>
      </c>
      <c r="K106">
        <v>-78.587313030000004</v>
      </c>
      <c r="L106">
        <v>21.581595006000001</v>
      </c>
      <c r="M106">
        <v>14.539765548</v>
      </c>
      <c r="N106">
        <v>-34.448839049999997</v>
      </c>
      <c r="O106">
        <v>-122.0950927</v>
      </c>
      <c r="P106">
        <v>56.951908506999999</v>
      </c>
    </row>
    <row r="107" spans="1:17" s="42" customFormat="1" ht="16.5" customHeight="1" x14ac:dyDescent="0.15">
      <c r="A107" s="134" t="str">
        <f t="shared" si="4"/>
        <v>CP09 Deflection Angles Only</v>
      </c>
      <c r="B107">
        <v>1020.5258857</v>
      </c>
      <c r="C107">
        <v>201.09774872</v>
      </c>
      <c r="D107">
        <v>-368.74653719999998</v>
      </c>
      <c r="E107">
        <v>24.679276980000001</v>
      </c>
      <c r="F107">
        <v>-208.57541739999999</v>
      </c>
      <c r="G107">
        <v>-152.22641350000001</v>
      </c>
      <c r="H107">
        <v>67.056448994999997</v>
      </c>
      <c r="I107">
        <v>27.163669587000001</v>
      </c>
      <c r="J107">
        <v>-7.0569658679999998</v>
      </c>
      <c r="K107">
        <v>4.2382093989999996</v>
      </c>
      <c r="L107">
        <v>-17.65236187</v>
      </c>
      <c r="M107">
        <v>105.59089072</v>
      </c>
      <c r="N107">
        <v>-31.44252998</v>
      </c>
      <c r="O107">
        <v>-96.407391059999995</v>
      </c>
      <c r="P107">
        <v>0</v>
      </c>
    </row>
    <row r="108" spans="1:17" s="42" customFormat="1" x14ac:dyDescent="0.15">
      <c r="A108" s="134" t="str">
        <f t="shared" si="4"/>
        <v>Davidon TriSet Deflection Angles Only</v>
      </c>
      <c r="B108" s="42">
        <v>787.69609129000003</v>
      </c>
      <c r="C108" s="42">
        <v>66.305671129999993</v>
      </c>
      <c r="D108" s="42">
        <v>-242.23863399999999</v>
      </c>
      <c r="E108" s="42">
        <v>-8.5559620499999998</v>
      </c>
      <c r="F108" s="42">
        <v>-125.1025018</v>
      </c>
      <c r="G108" s="42">
        <v>4.3297430409000004</v>
      </c>
      <c r="H108" s="42">
        <v>-9.1529049560000004</v>
      </c>
      <c r="I108" s="42">
        <v>60.351101456999999</v>
      </c>
      <c r="J108" s="42">
        <v>-49.614239859999998</v>
      </c>
      <c r="K108" s="42">
        <v>60.004787526999998</v>
      </c>
      <c r="L108" s="42">
        <v>-59.581050210000001</v>
      </c>
      <c r="M108" s="42">
        <v>-218.6967645</v>
      </c>
      <c r="N108" s="42">
        <v>14.902143795000001</v>
      </c>
      <c r="O108" s="42">
        <v>122.29637145</v>
      </c>
      <c r="P108">
        <v>0</v>
      </c>
    </row>
    <row r="109" spans="1:17" s="42" customFormat="1" x14ac:dyDescent="0.15">
      <c r="A109" s="134" t="str">
        <f t="shared" si="4"/>
        <v>CP03</v>
      </c>
      <c r="B109">
        <v>684.87242749999996</v>
      </c>
      <c r="C109">
        <v>151.34754407</v>
      </c>
      <c r="D109">
        <v>-227.18889469999999</v>
      </c>
      <c r="E109">
        <v>1.6318917266999999</v>
      </c>
      <c r="F109">
        <v>-231.29224300000001</v>
      </c>
      <c r="G109">
        <v>-69.204530770000005</v>
      </c>
      <c r="H109">
        <v>10.187584258999999</v>
      </c>
      <c r="I109">
        <v>4.0996562908999996</v>
      </c>
      <c r="J109">
        <v>-42.227556720000003</v>
      </c>
      <c r="K109">
        <v>87.392018574000005</v>
      </c>
      <c r="L109">
        <v>-38.780585860000002</v>
      </c>
      <c r="M109">
        <v>-74.529725189999994</v>
      </c>
      <c r="N109">
        <v>-30.385670900000001</v>
      </c>
      <c r="O109">
        <v>-0.32305334699999999</v>
      </c>
      <c r="P109">
        <v>120.43653612</v>
      </c>
    </row>
    <row r="110" spans="1:17" s="42" customFormat="1" x14ac:dyDescent="0.15">
      <c r="A110" s="134" t="str">
        <f t="shared" si="4"/>
        <v>Steel Disc Core 45</v>
      </c>
      <c r="B110">
        <v>590.66332194999995</v>
      </c>
      <c r="C110">
        <v>54.127968694000003</v>
      </c>
      <c r="D110">
        <v>-87.379937620000007</v>
      </c>
      <c r="E110">
        <v>-124.0401991</v>
      </c>
      <c r="F110">
        <v>21.193529852000001</v>
      </c>
      <c r="G110">
        <v>6.7267284973999999</v>
      </c>
      <c r="H110">
        <v>20.764421546000001</v>
      </c>
      <c r="I110">
        <v>14.698208481</v>
      </c>
      <c r="J110">
        <v>50.374607992999998</v>
      </c>
      <c r="K110">
        <v>-58.154094469999997</v>
      </c>
      <c r="L110">
        <v>-50.749408760000001</v>
      </c>
      <c r="M110">
        <v>-242.15619910000001</v>
      </c>
      <c r="N110">
        <v>-84.970320639999997</v>
      </c>
      <c r="O110">
        <v>155.06518188000001</v>
      </c>
      <c r="P110">
        <v>91.761794448000003</v>
      </c>
    </row>
    <row r="111" spans="1:17" s="42" customFormat="1" x14ac:dyDescent="0.15">
      <c r="A111" s="134" t="str">
        <f t="shared" si="4"/>
        <v>Ceramic Disc Core 45</v>
      </c>
      <c r="B111">
        <v>474.74004414000001</v>
      </c>
      <c r="C111">
        <v>108.95290694000001</v>
      </c>
      <c r="D111">
        <v>-41.7766989</v>
      </c>
      <c r="E111">
        <v>-25.46337552</v>
      </c>
      <c r="F111">
        <v>-16.090007700000001</v>
      </c>
      <c r="G111">
        <v>-18.853303059999998</v>
      </c>
      <c r="H111">
        <v>0.19506451089999999</v>
      </c>
      <c r="I111">
        <v>12.733337993999999</v>
      </c>
      <c r="J111">
        <v>3.0520493360000001</v>
      </c>
      <c r="K111">
        <v>-2.4804511850000002</v>
      </c>
      <c r="L111">
        <v>15.549725731000001</v>
      </c>
      <c r="M111">
        <v>-0.89672272600000003</v>
      </c>
      <c r="N111">
        <v>-12.48312458</v>
      </c>
      <c r="O111">
        <v>-1.827145112</v>
      </c>
      <c r="P111">
        <v>6.2553631546000004</v>
      </c>
    </row>
    <row r="112" spans="1:17" s="42" customFormat="1" x14ac:dyDescent="0.15">
      <c r="A112" s="134" t="str">
        <f t="shared" si="4"/>
        <v>CP09 Straight Stream Only</v>
      </c>
      <c r="B112" s="42">
        <v>1617.2401072</v>
      </c>
      <c r="C112" s="42">
        <v>38.583281454999998</v>
      </c>
      <c r="D112" s="42">
        <v>-487.38063190000003</v>
      </c>
      <c r="E112" s="42">
        <v>170.17086502000001</v>
      </c>
      <c r="F112" s="186">
        <v>0</v>
      </c>
      <c r="G112" s="42">
        <v>-22.992884969999999</v>
      </c>
      <c r="H112" s="42">
        <v>70.164454121000006</v>
      </c>
      <c r="I112" s="42">
        <v>-55.420656659999999</v>
      </c>
      <c r="J112" s="186">
        <v>0</v>
      </c>
      <c r="K112" s="186">
        <v>0</v>
      </c>
      <c r="L112" s="186">
        <v>0</v>
      </c>
      <c r="M112" s="42">
        <v>-109.274331</v>
      </c>
      <c r="N112" s="42">
        <v>121.17573145</v>
      </c>
      <c r="O112" s="42">
        <v>-121.2615425</v>
      </c>
      <c r="P112" s="186">
        <v>0</v>
      </c>
    </row>
    <row r="113" spans="1:17" s="42" customFormat="1" x14ac:dyDescent="0.15">
      <c r="A113" s="134" t="str">
        <f t="shared" si="4"/>
        <v>Davidon TriSet Straight Stream Only</v>
      </c>
      <c r="B113" s="42">
        <v>1818.0000035</v>
      </c>
      <c r="C113" s="42">
        <v>-6.0587745100000001</v>
      </c>
      <c r="D113" s="42">
        <v>-696.28533389999996</v>
      </c>
      <c r="E113" s="42">
        <v>204.80391627</v>
      </c>
      <c r="F113" s="186">
        <v>0</v>
      </c>
      <c r="G113" s="42">
        <v>5.8977760922</v>
      </c>
      <c r="H113" s="42">
        <v>-21.849318589999999</v>
      </c>
      <c r="I113" s="42">
        <v>72.923145833000007</v>
      </c>
      <c r="J113" s="186">
        <v>0</v>
      </c>
      <c r="K113" s="186">
        <v>0</v>
      </c>
      <c r="L113" s="186">
        <v>0</v>
      </c>
      <c r="M113" s="42">
        <v>-63.272032869999997</v>
      </c>
      <c r="N113" s="42">
        <v>195.34462744999999</v>
      </c>
      <c r="O113" s="42">
        <v>-6.1275392159999997</v>
      </c>
      <c r="P113" s="186">
        <v>0</v>
      </c>
    </row>
    <row r="114" spans="1:17" s="42" customFormat="1" x14ac:dyDescent="0.15">
      <c r="A114" s="134" t="str">
        <f t="shared" si="4"/>
        <v>CP11TT 110° Flat Fan</v>
      </c>
      <c r="B114" s="42">
        <v>544.59835706000001</v>
      </c>
      <c r="C114" s="42">
        <v>65.712237036999994</v>
      </c>
      <c r="D114" s="42">
        <v>-35.622959260000002</v>
      </c>
      <c r="E114" s="42">
        <v>-29.753392590000001</v>
      </c>
      <c r="F114" s="42">
        <v>-57.459688890000002</v>
      </c>
      <c r="G114" s="42">
        <v>-18.486933329999999</v>
      </c>
      <c r="H114" s="42">
        <v>-8.0178583329999995</v>
      </c>
      <c r="I114" s="42">
        <v>7.7744833333000001</v>
      </c>
      <c r="J114" s="42">
        <v>-20.287420829999999</v>
      </c>
      <c r="K114" s="42">
        <v>-27.4619125</v>
      </c>
      <c r="L114" s="42">
        <v>5.3354958333000004</v>
      </c>
      <c r="M114" s="42">
        <v>-16.44602768</v>
      </c>
      <c r="N114" s="42">
        <v>-34.855861019999999</v>
      </c>
      <c r="O114" s="42">
        <v>4.3599723164000004</v>
      </c>
      <c r="P114" s="42">
        <v>-42.17652768</v>
      </c>
    </row>
    <row r="115" spans="1:17" s="42" customFormat="1" x14ac:dyDescent="0.15">
      <c r="A115" s="134">
        <f t="shared" si="4"/>
        <v>0</v>
      </c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7" s="42" customFormat="1" ht="17.25" customHeight="1" x14ac:dyDescent="0.15">
      <c r="A116" s="55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6"/>
    </row>
    <row r="117" spans="1:17" s="42" customFormat="1" ht="15" thickBot="1" x14ac:dyDescent="0.2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9"/>
    </row>
    <row r="118" spans="1:17" s="42" customFormat="1" x14ac:dyDescent="0.1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</row>
    <row r="119" spans="1:17" s="42" customFormat="1" ht="14" thickBot="1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</row>
    <row r="120" spans="1:17" s="42" customFormat="1" ht="14" thickBot="1" x14ac:dyDescent="0.2">
      <c r="A120" s="60" t="s">
        <v>8</v>
      </c>
      <c r="B120" s="136" t="s">
        <v>55</v>
      </c>
      <c r="C120" s="53" t="s">
        <v>29</v>
      </c>
      <c r="D120" s="53" t="s">
        <v>31</v>
      </c>
      <c r="E120" s="53" t="s">
        <v>37</v>
      </c>
      <c r="F120" s="53" t="s">
        <v>30</v>
      </c>
      <c r="G120" s="53" t="s">
        <v>57</v>
      </c>
      <c r="H120" s="53" t="s">
        <v>56</v>
      </c>
      <c r="I120" s="53" t="s">
        <v>58</v>
      </c>
      <c r="J120" s="53" t="s">
        <v>59</v>
      </c>
      <c r="K120" s="53" t="s">
        <v>60</v>
      </c>
      <c r="L120" s="53" t="s">
        <v>61</v>
      </c>
      <c r="M120" s="53" t="s">
        <v>62</v>
      </c>
      <c r="N120" s="53" t="s">
        <v>63</v>
      </c>
      <c r="O120" s="53" t="s">
        <v>64</v>
      </c>
      <c r="P120" s="54" t="s">
        <v>65</v>
      </c>
    </row>
    <row r="121" spans="1:17" s="42" customFormat="1" x14ac:dyDescent="0.15">
      <c r="A121" s="134" t="str">
        <f>A2</f>
        <v>CP11TT 20° Flat Fan</v>
      </c>
      <c r="B121">
        <v>1.0917687091999999</v>
      </c>
      <c r="C121">
        <v>-0.69645595400000004</v>
      </c>
      <c r="D121">
        <v>2.0278922317000001</v>
      </c>
      <c r="E121">
        <v>0.21404369470000001</v>
      </c>
      <c r="F121">
        <v>1.8629170651</v>
      </c>
      <c r="G121">
        <v>-0.28403163599999998</v>
      </c>
      <c r="H121">
        <v>-8.6364594000000003E-2</v>
      </c>
      <c r="I121">
        <v>-0.13072501</v>
      </c>
      <c r="J121">
        <v>-0.43473524000000002</v>
      </c>
      <c r="K121">
        <v>1.5550456773000001</v>
      </c>
      <c r="L121">
        <v>8.6391552199999999E-2</v>
      </c>
      <c r="M121">
        <v>-4.5061882999999997E-2</v>
      </c>
      <c r="N121">
        <v>0.73832845079999998</v>
      </c>
      <c r="O121">
        <v>0.8033982838</v>
      </c>
      <c r="P121">
        <v>0.3428527838</v>
      </c>
    </row>
    <row r="122" spans="1:17" s="42" customFormat="1" x14ac:dyDescent="0.15">
      <c r="A122" s="134" t="str">
        <f t="shared" ref="A122:A137" si="5">A3</f>
        <v>CP11TT 40° Flat Fan</v>
      </c>
      <c r="B122">
        <v>1.3276092720999999</v>
      </c>
      <c r="C122">
        <v>-0.53409313300000005</v>
      </c>
      <c r="D122">
        <v>1.6965331963000001</v>
      </c>
      <c r="E122">
        <v>0.81339216950000004</v>
      </c>
      <c r="F122">
        <v>1.7087688526</v>
      </c>
      <c r="G122">
        <v>-0.21088362899999999</v>
      </c>
      <c r="H122">
        <v>-0.35304581000000002</v>
      </c>
      <c r="I122">
        <v>-0.61475212300000004</v>
      </c>
      <c r="J122">
        <v>0.20173519249999999</v>
      </c>
      <c r="K122">
        <v>1.0310609020999999</v>
      </c>
      <c r="L122">
        <v>0.49162967289999998</v>
      </c>
      <c r="M122">
        <v>0.48218651950000002</v>
      </c>
      <c r="N122">
        <v>1.0875482080000001</v>
      </c>
      <c r="O122">
        <v>0.3681728413</v>
      </c>
      <c r="P122">
        <v>0.60954170799999996</v>
      </c>
    </row>
    <row r="123" spans="1:17" s="42" customFormat="1" x14ac:dyDescent="0.15">
      <c r="A123" s="134" t="str">
        <f t="shared" si="5"/>
        <v>CP11TT 80° Flat Fan</v>
      </c>
      <c r="B123">
        <v>1.8410756711</v>
      </c>
      <c r="C123">
        <v>-2.7533813870000001</v>
      </c>
      <c r="D123">
        <v>2.6173992071000001</v>
      </c>
      <c r="E123">
        <v>0.85112871710000004</v>
      </c>
      <c r="F123">
        <v>2.3807453873000002</v>
      </c>
      <c r="G123">
        <v>-1.8655161330000001</v>
      </c>
      <c r="H123">
        <v>-1.0227879E-2</v>
      </c>
      <c r="I123">
        <v>-1.2122332309999999</v>
      </c>
      <c r="J123">
        <v>0.759907899</v>
      </c>
      <c r="K123">
        <v>0.97938149789999995</v>
      </c>
      <c r="L123">
        <v>0.5015091438</v>
      </c>
      <c r="M123">
        <v>2.6830681245000001</v>
      </c>
      <c r="N123">
        <v>1.4638414023999999</v>
      </c>
      <c r="O123">
        <v>0.51192723569999998</v>
      </c>
      <c r="P123">
        <v>1.4094567357000001</v>
      </c>
    </row>
    <row r="124" spans="1:17" s="42" customFormat="1" x14ac:dyDescent="0.15">
      <c r="A124" s="134" t="str">
        <f t="shared" si="5"/>
        <v>CP11TT Straight Stream</v>
      </c>
      <c r="B124">
        <v>0.60742624460000005</v>
      </c>
      <c r="C124">
        <v>1.60570544E-2</v>
      </c>
      <c r="D124">
        <v>0.45679783280000003</v>
      </c>
      <c r="E124">
        <v>-0.19032354800000001</v>
      </c>
      <c r="F124">
        <v>0.1512796401</v>
      </c>
      <c r="G124">
        <v>0.15863136920000001</v>
      </c>
      <c r="H124">
        <v>1.1148668299999999E-2</v>
      </c>
      <c r="I124">
        <v>-0.21562921800000001</v>
      </c>
      <c r="J124">
        <v>-9.4194686E-2</v>
      </c>
      <c r="K124">
        <v>4.6555138099999997E-2</v>
      </c>
      <c r="L124">
        <v>-5.3362804E-2</v>
      </c>
      <c r="M124">
        <v>9.2302049499999997E-2</v>
      </c>
      <c r="N124">
        <v>0.2723849096</v>
      </c>
      <c r="O124">
        <v>-5.1847131999999997E-2</v>
      </c>
      <c r="P124">
        <v>-0.145772762</v>
      </c>
    </row>
    <row r="125" spans="1:17" s="42" customFormat="1" x14ac:dyDescent="0.15">
      <c r="A125" s="134" t="str">
        <f t="shared" si="5"/>
        <v>Standard 40° Flat Fan</v>
      </c>
      <c r="B125">
        <v>1.283137628</v>
      </c>
      <c r="C125">
        <v>-0.48739968500000003</v>
      </c>
      <c r="D125">
        <v>1.6248156203999999</v>
      </c>
      <c r="E125">
        <v>0.46112190330000002</v>
      </c>
      <c r="F125">
        <v>0.85325515870000002</v>
      </c>
      <c r="G125">
        <v>0.148489438</v>
      </c>
      <c r="H125">
        <v>1.5975345134000001</v>
      </c>
      <c r="I125">
        <v>0.4468170628</v>
      </c>
      <c r="J125">
        <v>-0.349321504</v>
      </c>
      <c r="K125">
        <v>0.59191981069999999</v>
      </c>
      <c r="L125">
        <v>0.35055094399999998</v>
      </c>
      <c r="M125">
        <v>-0.29460463799999997</v>
      </c>
      <c r="N125">
        <v>1.2904922732999999</v>
      </c>
      <c r="O125">
        <v>-0.674567213</v>
      </c>
      <c r="P125">
        <v>1.1416869113999999</v>
      </c>
    </row>
    <row r="126" spans="1:17" s="42" customFormat="1" x14ac:dyDescent="0.15">
      <c r="A126" s="134" t="str">
        <f t="shared" si="5"/>
        <v>Standard 80° Flat Fan</v>
      </c>
      <c r="B126">
        <v>1.6580247419</v>
      </c>
      <c r="C126">
        <v>-1.95626323</v>
      </c>
      <c r="D126">
        <v>1.6989490109000001</v>
      </c>
      <c r="E126">
        <v>2.3616517658</v>
      </c>
      <c r="F126">
        <v>-0.201458479</v>
      </c>
      <c r="G126">
        <v>0.70573919559999998</v>
      </c>
      <c r="H126">
        <v>0.89365205920000002</v>
      </c>
      <c r="I126">
        <v>-0.65015655299999997</v>
      </c>
      <c r="J126">
        <v>0.87260044039999995</v>
      </c>
      <c r="K126">
        <v>0.9769254342</v>
      </c>
      <c r="L126">
        <v>0.1537032676</v>
      </c>
      <c r="M126">
        <v>0.33447929030000001</v>
      </c>
      <c r="N126">
        <v>1.3895120408999999</v>
      </c>
      <c r="O126">
        <v>-1.3401188479999999</v>
      </c>
      <c r="P126">
        <v>-0.189297457</v>
      </c>
    </row>
    <row r="127" spans="1:17" s="42" customFormat="1" x14ac:dyDescent="0.15">
      <c r="A127" s="134" t="str">
        <f t="shared" si="5"/>
        <v>Steel Disc Core Straight Stream</v>
      </c>
      <c r="B127">
        <v>0.5682799583</v>
      </c>
      <c r="C127">
        <v>0.5569289476</v>
      </c>
      <c r="D127">
        <v>0.78623442619999995</v>
      </c>
      <c r="E127">
        <v>-9.8259351999999994E-2</v>
      </c>
      <c r="F127">
        <v>5.0173445300000001E-2</v>
      </c>
      <c r="G127">
        <v>0.71823002039999995</v>
      </c>
      <c r="H127">
        <v>-0.132247368</v>
      </c>
      <c r="I127">
        <v>-0.24856910199999999</v>
      </c>
      <c r="J127">
        <v>9.7083289000000003E-3</v>
      </c>
      <c r="K127">
        <v>-5.3742783000000002E-2</v>
      </c>
      <c r="L127">
        <v>-0.11393742499999999</v>
      </c>
      <c r="M127">
        <v>0.78387220209999997</v>
      </c>
      <c r="N127">
        <v>0.46221757899999999</v>
      </c>
      <c r="O127">
        <v>-0.15829323300000001</v>
      </c>
      <c r="P127">
        <v>-0.31648733299999998</v>
      </c>
    </row>
    <row r="128" spans="1:17" s="42" customFormat="1" x14ac:dyDescent="0.15">
      <c r="A128" s="134" t="str">
        <f t="shared" si="5"/>
        <v>Ceramic Disc Core Straight Stream</v>
      </c>
      <c r="B128">
        <v>0.42608932929999999</v>
      </c>
      <c r="C128">
        <v>-7.8443144000000006E-2</v>
      </c>
      <c r="D128">
        <v>0.51570090489999998</v>
      </c>
      <c r="E128">
        <v>-5.6830903000000002E-2</v>
      </c>
      <c r="F128">
        <v>0.21927587130000001</v>
      </c>
      <c r="G128">
        <v>7.2751211299999993E-2</v>
      </c>
      <c r="H128">
        <v>-7.6791527999999998E-2</v>
      </c>
      <c r="I128">
        <v>-0.22067457100000001</v>
      </c>
      <c r="J128">
        <v>-0.105696398</v>
      </c>
      <c r="K128">
        <v>0.21787957529999999</v>
      </c>
      <c r="L128">
        <v>4.4965716699999998E-2</v>
      </c>
      <c r="M128">
        <v>0.13373429789999999</v>
      </c>
      <c r="N128">
        <v>0.26297999280000001</v>
      </c>
      <c r="O128">
        <v>0.14805285509999999</v>
      </c>
      <c r="P128">
        <v>-0.16660449199999999</v>
      </c>
    </row>
    <row r="129" spans="1:23" s="42" customFormat="1" x14ac:dyDescent="0.15">
      <c r="A129" s="134" t="str">
        <f t="shared" si="5"/>
        <v>CP09 Deflection Angles Only</v>
      </c>
      <c r="B129">
        <v>2.0032740977999999</v>
      </c>
      <c r="C129">
        <v>-0.43421536900000002</v>
      </c>
      <c r="D129">
        <v>2.7323662207999999</v>
      </c>
      <c r="E129">
        <v>-0.164579539</v>
      </c>
      <c r="F129">
        <v>0.78993442700000005</v>
      </c>
      <c r="G129">
        <v>-0.50079822799999996</v>
      </c>
      <c r="H129">
        <v>0.264104742</v>
      </c>
      <c r="I129">
        <v>-7.7363519000000006E-2</v>
      </c>
      <c r="J129">
        <v>-9.3807331999999993E-2</v>
      </c>
      <c r="K129">
        <v>0.99786706579999995</v>
      </c>
      <c r="L129">
        <v>-0.11903329999999999</v>
      </c>
      <c r="M129">
        <v>8.1068107400000006E-2</v>
      </c>
      <c r="N129">
        <v>1.4184712105999999</v>
      </c>
      <c r="O129">
        <v>-0.49052622099999998</v>
      </c>
      <c r="P129">
        <v>0</v>
      </c>
    </row>
    <row r="130" spans="1:23" s="42" customFormat="1" x14ac:dyDescent="0.15">
      <c r="A130" s="134" t="str">
        <f t="shared" si="5"/>
        <v>Davidon TriSet Deflection Angles Only</v>
      </c>
      <c r="B130" s="42">
        <v>3.1436719892</v>
      </c>
      <c r="C130" s="42">
        <v>0.39611439170000001</v>
      </c>
      <c r="D130" s="42">
        <v>3.3509334562999999</v>
      </c>
      <c r="E130" s="42">
        <v>0.16134791400000001</v>
      </c>
      <c r="F130" s="42">
        <v>1.152493999</v>
      </c>
      <c r="G130" s="42">
        <v>-0.29771037500000003</v>
      </c>
      <c r="H130" s="42">
        <v>0.35440678520000002</v>
      </c>
      <c r="I130" s="42">
        <v>-0.31353998599999999</v>
      </c>
      <c r="J130" s="42">
        <v>0.3125796072</v>
      </c>
      <c r="K130" s="42">
        <v>1.2253020969999999</v>
      </c>
      <c r="L130" s="42">
        <v>0.12902643990000001</v>
      </c>
      <c r="M130" s="42">
        <v>-6.0023672E-2</v>
      </c>
      <c r="N130" s="42">
        <v>1.4754377905</v>
      </c>
      <c r="O130" s="42">
        <v>-0.31862142999999998</v>
      </c>
      <c r="P130">
        <v>0</v>
      </c>
    </row>
    <row r="131" spans="1:23" s="42" customFormat="1" x14ac:dyDescent="0.15">
      <c r="A131" s="134" t="str">
        <f t="shared" si="5"/>
        <v>CP03</v>
      </c>
      <c r="B131">
        <v>3.5006216869000002</v>
      </c>
      <c r="C131">
        <v>-0.54651057400000003</v>
      </c>
      <c r="D131">
        <v>3.8380491997999999</v>
      </c>
      <c r="E131">
        <v>-4.2053645000000001E-2</v>
      </c>
      <c r="F131">
        <v>1.7978717732</v>
      </c>
      <c r="G131">
        <v>-0.70228062499999999</v>
      </c>
      <c r="H131">
        <v>0.2057091667</v>
      </c>
      <c r="I131">
        <v>-0.12205635500000001</v>
      </c>
      <c r="J131">
        <v>2.40404982E-2</v>
      </c>
      <c r="K131">
        <v>2.0396779017000002</v>
      </c>
      <c r="L131">
        <v>-0.246457172</v>
      </c>
      <c r="M131">
        <v>0.27297955820000003</v>
      </c>
      <c r="N131">
        <v>1.5415659711</v>
      </c>
      <c r="O131">
        <v>-0.30353752699999997</v>
      </c>
      <c r="P131">
        <v>-0.49342037300000002</v>
      </c>
    </row>
    <row r="132" spans="1:23" s="42" customFormat="1" x14ac:dyDescent="0.15">
      <c r="A132" s="134" t="str">
        <f t="shared" si="5"/>
        <v>Steel Disc Core 45</v>
      </c>
      <c r="B132">
        <v>4.4510914826999999</v>
      </c>
      <c r="C132">
        <v>-2.0637516210000002</v>
      </c>
      <c r="D132">
        <v>1.8609635536</v>
      </c>
      <c r="E132">
        <v>2.6499336002999998</v>
      </c>
      <c r="F132">
        <v>-3.8335923000000001E-2</v>
      </c>
      <c r="G132">
        <v>6.9382962999999997E-3</v>
      </c>
      <c r="H132">
        <v>-0.77921600800000002</v>
      </c>
      <c r="I132">
        <v>-0.14091574000000001</v>
      </c>
      <c r="J132">
        <v>-0.95864220300000003</v>
      </c>
      <c r="K132">
        <v>2.2357930331000002</v>
      </c>
      <c r="L132">
        <v>0.94420977439999998</v>
      </c>
      <c r="M132">
        <v>7.1266148946000003</v>
      </c>
      <c r="N132">
        <v>2.0118841137999999</v>
      </c>
      <c r="O132">
        <v>-2.999633652</v>
      </c>
      <c r="P132">
        <v>-2.0700210029999999</v>
      </c>
    </row>
    <row r="133" spans="1:23" s="42" customFormat="1" x14ac:dyDescent="0.15">
      <c r="A133" s="134" t="str">
        <f t="shared" si="5"/>
        <v>Ceramic Disc Core 45</v>
      </c>
      <c r="B133">
        <v>7.9296704224000001</v>
      </c>
      <c r="C133">
        <v>-3.7211207059999998</v>
      </c>
      <c r="D133">
        <v>1.9382827823</v>
      </c>
      <c r="E133">
        <v>1.2011215039000001</v>
      </c>
      <c r="F133">
        <v>0.98932141259999995</v>
      </c>
      <c r="G133">
        <v>-0.56925579199999998</v>
      </c>
      <c r="H133">
        <v>-0.49484956099999999</v>
      </c>
      <c r="I133">
        <v>-0.16928125899999999</v>
      </c>
      <c r="J133">
        <v>-0.82942472199999995</v>
      </c>
      <c r="K133">
        <v>0.94131973150000003</v>
      </c>
      <c r="L133">
        <v>-0.92607154700000005</v>
      </c>
      <c r="M133">
        <v>1.6206504279</v>
      </c>
      <c r="N133">
        <v>0.71518133350000002</v>
      </c>
      <c r="O133">
        <v>-1.253653723</v>
      </c>
      <c r="P133">
        <v>-0.70618098399999996</v>
      </c>
    </row>
    <row r="134" spans="1:23" s="42" customFormat="1" x14ac:dyDescent="0.15">
      <c r="A134" s="134" t="str">
        <f t="shared" si="5"/>
        <v>CP09 Straight Stream Only</v>
      </c>
      <c r="B134" s="42">
        <v>0.51329469260000005</v>
      </c>
      <c r="C134" s="42">
        <v>0.48262480190000001</v>
      </c>
      <c r="D134" s="42">
        <v>0.86608419950000004</v>
      </c>
      <c r="E134" s="42">
        <v>-0.19684855400000001</v>
      </c>
      <c r="F134" s="186">
        <v>0</v>
      </c>
      <c r="G134" s="42">
        <v>0.36354126079999999</v>
      </c>
      <c r="H134" s="42">
        <v>-0.19140169500000001</v>
      </c>
      <c r="I134" s="42">
        <v>-0.20413403399999999</v>
      </c>
      <c r="J134" s="186">
        <v>0</v>
      </c>
      <c r="K134" s="186">
        <v>0</v>
      </c>
      <c r="L134" s="186">
        <v>0</v>
      </c>
      <c r="M134" s="42">
        <v>-7.5910756999999995E-2</v>
      </c>
      <c r="N134" s="42">
        <v>0.47942843880000002</v>
      </c>
      <c r="O134" s="42">
        <v>4.4773386800000002E-2</v>
      </c>
      <c r="P134" s="186">
        <v>0</v>
      </c>
    </row>
    <row r="135" spans="1:23" s="42" customFormat="1" x14ac:dyDescent="0.15">
      <c r="A135" s="134" t="str">
        <f t="shared" si="5"/>
        <v>Davidon TriSet Straight Stream Only</v>
      </c>
      <c r="B135">
        <v>0.24626552060000001</v>
      </c>
      <c r="C135" s="42">
        <v>0.16869109930000001</v>
      </c>
      <c r="D135" s="42">
        <v>0.50943030990000004</v>
      </c>
      <c r="E135" s="42">
        <v>-0.197573837</v>
      </c>
      <c r="F135" s="186">
        <v>0</v>
      </c>
      <c r="G135" s="42">
        <v>0.15404704029999999</v>
      </c>
      <c r="H135" s="42">
        <v>-3.2838197E-2</v>
      </c>
      <c r="I135" s="42">
        <v>-0.196654052</v>
      </c>
      <c r="J135" s="186">
        <v>0</v>
      </c>
      <c r="K135" s="186">
        <v>0</v>
      </c>
      <c r="L135" s="186">
        <v>0</v>
      </c>
      <c r="M135" s="42">
        <v>-9.6669496999999993E-2</v>
      </c>
      <c r="N135" s="42">
        <v>0.29488951720000001</v>
      </c>
      <c r="O135" s="42">
        <v>9.8462017200000002E-2</v>
      </c>
      <c r="P135" s="186">
        <v>0</v>
      </c>
    </row>
    <row r="136" spans="1:23" s="42" customFormat="1" x14ac:dyDescent="0.15">
      <c r="A136" s="134" t="str">
        <f t="shared" si="5"/>
        <v>CP11TT 110° Flat Fan</v>
      </c>
      <c r="B136" s="42">
        <v>1.3902877831</v>
      </c>
      <c r="C136" s="42">
        <v>-2.1274324189999998</v>
      </c>
      <c r="D136" s="42">
        <v>2.4714281221999999</v>
      </c>
      <c r="E136" s="42">
        <v>0.67149208149999995</v>
      </c>
      <c r="F136" s="42">
        <v>0.78102978519999999</v>
      </c>
      <c r="G136" s="42">
        <v>0.253858325</v>
      </c>
      <c r="H136" s="42">
        <v>0.15217069580000001</v>
      </c>
      <c r="I136" s="42">
        <v>5.30092208E-2</v>
      </c>
      <c r="J136" s="42">
        <v>0.1609295292</v>
      </c>
      <c r="K136" s="42">
        <v>2.8582377208</v>
      </c>
      <c r="L136">
        <v>-0.51943320000000004</v>
      </c>
      <c r="M136" s="42">
        <v>1.8503231419999999</v>
      </c>
      <c r="N136" s="42">
        <v>3.2653428086999998</v>
      </c>
      <c r="O136" s="42">
        <v>0.5655288087</v>
      </c>
      <c r="P136" s="42">
        <v>0.81359014200000002</v>
      </c>
      <c r="T136"/>
      <c r="U136"/>
      <c r="W136"/>
    </row>
    <row r="137" spans="1:23" s="42" customFormat="1" x14ac:dyDescent="0.15">
      <c r="A137" s="134">
        <f t="shared" si="5"/>
        <v>0</v>
      </c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T137"/>
      <c r="U137"/>
      <c r="W137"/>
    </row>
    <row r="138" spans="1:23" s="42" customFormat="1" ht="14" x14ac:dyDescent="0.15">
      <c r="A138" s="55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6"/>
      <c r="T138"/>
      <c r="U138"/>
      <c r="W138"/>
    </row>
    <row r="139" spans="1:23" s="42" customFormat="1" ht="15" thickBot="1" x14ac:dyDescent="0.2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9"/>
      <c r="T139"/>
      <c r="U139"/>
      <c r="W139"/>
    </row>
    <row r="140" spans="1:23" s="42" customFormat="1" x14ac:dyDescent="0.1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T140"/>
      <c r="U140"/>
      <c r="W140"/>
    </row>
    <row r="141" spans="1:23" s="42" customFormat="1" ht="14" thickBo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T141"/>
      <c r="U141"/>
      <c r="W141"/>
    </row>
    <row r="142" spans="1:23" s="42" customFormat="1" ht="14" thickBot="1" x14ac:dyDescent="0.2">
      <c r="A142" s="137" t="s">
        <v>101</v>
      </c>
      <c r="B142" s="67" t="s">
        <v>55</v>
      </c>
      <c r="C142" s="67" t="s">
        <v>29</v>
      </c>
      <c r="D142" s="67" t="s">
        <v>31</v>
      </c>
      <c r="E142" s="67" t="s">
        <v>37</v>
      </c>
      <c r="F142" s="67" t="s">
        <v>30</v>
      </c>
      <c r="G142" s="67" t="s">
        <v>57</v>
      </c>
      <c r="H142" s="67" t="s">
        <v>56</v>
      </c>
      <c r="I142" s="67" t="s">
        <v>58</v>
      </c>
      <c r="J142" s="67" t="s">
        <v>59</v>
      </c>
      <c r="K142" s="67" t="s">
        <v>60</v>
      </c>
      <c r="L142" s="67" t="s">
        <v>61</v>
      </c>
      <c r="M142" s="67" t="s">
        <v>62</v>
      </c>
      <c r="N142" s="67" t="s">
        <v>63</v>
      </c>
      <c r="O142" s="67" t="s">
        <v>64</v>
      </c>
      <c r="P142" s="68" t="s">
        <v>65</v>
      </c>
      <c r="Q142" s="51"/>
      <c r="T142"/>
      <c r="U142"/>
      <c r="W142"/>
    </row>
    <row r="143" spans="1:23" s="42" customFormat="1" x14ac:dyDescent="0.15">
      <c r="A143" s="138" t="str">
        <f>A2</f>
        <v>CP11TT 20° Flat Fan</v>
      </c>
      <c r="B143">
        <v>5.8656106081999999</v>
      </c>
      <c r="C143">
        <v>-3.3440079909999998</v>
      </c>
      <c r="D143">
        <v>6.1432239354</v>
      </c>
      <c r="E143">
        <v>1.1521272132</v>
      </c>
      <c r="F143">
        <v>6.1870032685999998</v>
      </c>
      <c r="G143">
        <v>-7.3605532000000001E-2</v>
      </c>
      <c r="H143">
        <v>-0.49826694700000002</v>
      </c>
      <c r="I143">
        <v>-0.74810711500000004</v>
      </c>
      <c r="J143">
        <v>-1.425071969</v>
      </c>
      <c r="K143">
        <v>3.8002841973999999</v>
      </c>
      <c r="L143">
        <v>0.16852286499999999</v>
      </c>
      <c r="M143">
        <v>0.57688023489999996</v>
      </c>
      <c r="N143">
        <v>2.0964569034</v>
      </c>
      <c r="O143">
        <v>2.6323117364000002</v>
      </c>
      <c r="P143">
        <v>0.80655573489999999</v>
      </c>
      <c r="Q143" s="51"/>
      <c r="T143"/>
      <c r="U143"/>
      <c r="W143"/>
    </row>
    <row r="144" spans="1:23" s="42" customFormat="1" x14ac:dyDescent="0.15">
      <c r="A144" s="139" t="str">
        <f t="shared" ref="A144:A159" si="6">A3</f>
        <v>CP11TT 40° Flat Fan</v>
      </c>
      <c r="B144">
        <v>7.2589667722</v>
      </c>
      <c r="C144">
        <v>-6.3134459510000003</v>
      </c>
      <c r="D144">
        <v>5.5097173032000004</v>
      </c>
      <c r="E144">
        <v>4.1067268397000003</v>
      </c>
      <c r="F144">
        <v>7.4813206666000003</v>
      </c>
      <c r="G144">
        <v>-1.318280785</v>
      </c>
      <c r="H144">
        <v>-1.668077153</v>
      </c>
      <c r="I144">
        <v>-2.4442724450000002</v>
      </c>
      <c r="J144">
        <v>9.3542969099999998E-2</v>
      </c>
      <c r="K144">
        <v>2.5968584135000001</v>
      </c>
      <c r="L144">
        <v>2.1646045697999998</v>
      </c>
      <c r="M144">
        <v>6.0849344309999998</v>
      </c>
      <c r="N144">
        <v>3.5323607554000001</v>
      </c>
      <c r="O144">
        <v>1.2335490553999999</v>
      </c>
      <c r="P144">
        <v>2.7252790886999998</v>
      </c>
      <c r="Q144" s="51"/>
      <c r="T144"/>
      <c r="U144"/>
      <c r="W144"/>
    </row>
    <row r="145" spans="1:23" s="42" customFormat="1" x14ac:dyDescent="0.15">
      <c r="A145" s="139" t="str">
        <f t="shared" si="6"/>
        <v>CP11TT 80° Flat Fan</v>
      </c>
      <c r="B145">
        <v>11.586595702</v>
      </c>
      <c r="C145">
        <v>-13.739628850000001</v>
      </c>
      <c r="D145">
        <v>3.4050378888999999</v>
      </c>
      <c r="E145">
        <v>5.2497859236000002</v>
      </c>
      <c r="F145">
        <v>9.1573346638000004</v>
      </c>
      <c r="G145">
        <v>-3.9655167950000001</v>
      </c>
      <c r="H145">
        <v>-1.5957160889999999</v>
      </c>
      <c r="I145">
        <v>-5.0709797329999997</v>
      </c>
      <c r="J145">
        <v>4.4248765023000001</v>
      </c>
      <c r="K145">
        <v>-0.63888404600000004</v>
      </c>
      <c r="L145">
        <v>2.1115361625000002</v>
      </c>
      <c r="M145">
        <v>14.667216270999999</v>
      </c>
      <c r="N145">
        <v>4.3285958075000002</v>
      </c>
      <c r="O145">
        <v>0.4731766409</v>
      </c>
      <c r="P145">
        <v>5.8925388075000003</v>
      </c>
      <c r="Q145" s="51"/>
      <c r="T145"/>
      <c r="U145"/>
      <c r="W145"/>
    </row>
    <row r="146" spans="1:23" s="42" customFormat="1" x14ac:dyDescent="0.15">
      <c r="A146" s="139" t="str">
        <f t="shared" si="6"/>
        <v>CP11TT Straight Stream</v>
      </c>
      <c r="B146">
        <v>2.8801314331999999</v>
      </c>
      <c r="C146">
        <v>0.1073825835</v>
      </c>
      <c r="D146">
        <v>2.3062703529999999</v>
      </c>
      <c r="E146">
        <v>-0.96869022400000004</v>
      </c>
      <c r="F146">
        <v>0.8933294947</v>
      </c>
      <c r="G146">
        <v>0.78604741140000001</v>
      </c>
      <c r="H146">
        <v>0.2043587228</v>
      </c>
      <c r="I146">
        <v>-0.71128453199999997</v>
      </c>
      <c r="J146">
        <v>-0.65880106500000002</v>
      </c>
      <c r="K146">
        <v>0.19948720280000001</v>
      </c>
      <c r="L146">
        <v>-0.37140921300000002</v>
      </c>
      <c r="M146">
        <v>0.83293393910000002</v>
      </c>
      <c r="N146">
        <v>1.1161075698</v>
      </c>
      <c r="O146">
        <v>-0.14748852500000001</v>
      </c>
      <c r="P146">
        <v>-0.47842653400000001</v>
      </c>
      <c r="Q146" s="51"/>
      <c r="U146"/>
      <c r="W146"/>
    </row>
    <row r="147" spans="1:23" s="42" customFormat="1" x14ac:dyDescent="0.15">
      <c r="A147" s="139" t="str">
        <f t="shared" si="6"/>
        <v>Standard 40° Flat Fan</v>
      </c>
      <c r="B147">
        <v>7.0861401874999999</v>
      </c>
      <c r="C147">
        <v>-6.1454782210000003</v>
      </c>
      <c r="D147">
        <v>7.2005679295</v>
      </c>
      <c r="E147">
        <v>5.9600032092999999</v>
      </c>
      <c r="F147">
        <v>4.2472829126000002</v>
      </c>
      <c r="G147">
        <v>-9.7805415000000007E-2</v>
      </c>
      <c r="H147">
        <v>5.1608807025000001</v>
      </c>
      <c r="I147">
        <v>2.0067815034000001</v>
      </c>
      <c r="J147">
        <v>-1.6341953950000001</v>
      </c>
      <c r="K147">
        <v>2.6129829663000002</v>
      </c>
      <c r="L147">
        <v>1.1212529329000001</v>
      </c>
      <c r="M147">
        <v>-1.6648432740000001</v>
      </c>
      <c r="N147">
        <v>4.4060688939999997</v>
      </c>
      <c r="O147">
        <v>-2.6666005519999998</v>
      </c>
      <c r="P147">
        <v>2.9862052814000002</v>
      </c>
      <c r="Q147" s="51"/>
      <c r="U147"/>
      <c r="V147"/>
    </row>
    <row r="148" spans="1:23" s="42" customFormat="1" x14ac:dyDescent="0.15">
      <c r="A148" s="139" t="str">
        <f t="shared" si="6"/>
        <v>Standard 80° Flat Fan</v>
      </c>
      <c r="B148">
        <v>9.3827851718000002</v>
      </c>
      <c r="C148">
        <v>-15.114605559999999</v>
      </c>
      <c r="D148">
        <v>9.0280824432000006</v>
      </c>
      <c r="E148">
        <v>15.999853465999999</v>
      </c>
      <c r="F148">
        <v>2.6821010713</v>
      </c>
      <c r="G148">
        <v>0.98427852959999995</v>
      </c>
      <c r="H148">
        <v>-1.2520779689999999</v>
      </c>
      <c r="I148">
        <v>-1.3285606029999999</v>
      </c>
      <c r="J148">
        <v>0.46047840470000001</v>
      </c>
      <c r="K148">
        <v>4.7562782106999997</v>
      </c>
      <c r="L148">
        <v>0.71164704410000001</v>
      </c>
      <c r="M148">
        <v>2.5505590426999998</v>
      </c>
      <c r="N148">
        <v>5.3774684180000003</v>
      </c>
      <c r="O148">
        <v>-4.2683273499999999</v>
      </c>
      <c r="P148">
        <v>-3.020818416</v>
      </c>
      <c r="Q148" s="51"/>
      <c r="U148"/>
      <c r="V148"/>
    </row>
    <row r="149" spans="1:23" s="42" customFormat="1" x14ac:dyDescent="0.15">
      <c r="A149" s="139" t="str">
        <f t="shared" si="6"/>
        <v>Steel Disc Core Straight Stream</v>
      </c>
      <c r="B149">
        <v>3.0002406994999999</v>
      </c>
      <c r="C149">
        <v>2.6529173428999999</v>
      </c>
      <c r="D149">
        <v>3.4351372224999999</v>
      </c>
      <c r="E149">
        <v>-0.56934232399999996</v>
      </c>
      <c r="F149">
        <v>0.27792157270000001</v>
      </c>
      <c r="G149">
        <v>2.4994386496000001</v>
      </c>
      <c r="H149">
        <v>-0.30643539800000003</v>
      </c>
      <c r="I149">
        <v>-0.91853700199999999</v>
      </c>
      <c r="J149">
        <v>7.5566662199999995E-2</v>
      </c>
      <c r="K149">
        <v>-0.16443851300000001</v>
      </c>
      <c r="L149">
        <v>-0.43753335900000001</v>
      </c>
      <c r="M149">
        <v>2.6469548745</v>
      </c>
      <c r="N149">
        <v>1.6762155777000001</v>
      </c>
      <c r="O149">
        <v>-0.36527197500000003</v>
      </c>
      <c r="P149">
        <v>-1.0743394690000001</v>
      </c>
      <c r="Q149" s="51"/>
      <c r="U149"/>
      <c r="V149"/>
    </row>
    <row r="150" spans="1:23" s="42" customFormat="1" x14ac:dyDescent="0.15">
      <c r="A150" s="139" t="str">
        <f t="shared" si="6"/>
        <v>Ceramic Disc Core Straight Stream</v>
      </c>
      <c r="B150">
        <v>2.0284694632</v>
      </c>
      <c r="C150">
        <v>7.9957242000000001E-3</v>
      </c>
      <c r="D150">
        <v>2.5201397723999999</v>
      </c>
      <c r="E150">
        <v>-0.48432776999999999</v>
      </c>
      <c r="F150">
        <v>0.88701303949999999</v>
      </c>
      <c r="G150">
        <v>0.2410145574</v>
      </c>
      <c r="H150">
        <v>-9.1354586000000002E-2</v>
      </c>
      <c r="I150">
        <v>-0.988313675</v>
      </c>
      <c r="J150">
        <v>-0.45978170800000001</v>
      </c>
      <c r="K150">
        <v>0.92052747410000002</v>
      </c>
      <c r="L150">
        <v>8.1263355400000001E-2</v>
      </c>
      <c r="M150">
        <v>0.66231202339999995</v>
      </c>
      <c r="N150">
        <v>0.98936295870000002</v>
      </c>
      <c r="O150">
        <v>0.80604952949999997</v>
      </c>
      <c r="P150">
        <v>-0.65182283699999999</v>
      </c>
      <c r="Q150" s="51"/>
    </row>
    <row r="151" spans="1:23" s="42" customFormat="1" x14ac:dyDescent="0.15">
      <c r="A151" s="139" t="str">
        <f t="shared" si="6"/>
        <v>CP09 Deflection Angles Only</v>
      </c>
      <c r="B151">
        <v>9.1541248144999994</v>
      </c>
      <c r="C151">
        <v>-2.7299863910000002</v>
      </c>
      <c r="D151">
        <v>9.7413270481000005</v>
      </c>
      <c r="E151">
        <v>0.1321774969</v>
      </c>
      <c r="F151">
        <v>3.0875641985</v>
      </c>
      <c r="G151">
        <v>-0.80918057700000001</v>
      </c>
      <c r="H151">
        <v>-0.12968053199999999</v>
      </c>
      <c r="I151">
        <v>-1.5329207920000001</v>
      </c>
      <c r="J151">
        <v>-0.72403556099999999</v>
      </c>
      <c r="K151">
        <v>2.8541233110999999</v>
      </c>
      <c r="L151">
        <v>0.1603633844</v>
      </c>
      <c r="M151">
        <v>1.6978416766</v>
      </c>
      <c r="N151">
        <v>4.0615848266999999</v>
      </c>
      <c r="O151">
        <v>-0.68444746700000003</v>
      </c>
      <c r="P151">
        <v>0</v>
      </c>
      <c r="Q151" s="51"/>
    </row>
    <row r="152" spans="1:23" s="42" customFormat="1" x14ac:dyDescent="0.15">
      <c r="A152" s="139" t="str">
        <f t="shared" si="6"/>
        <v>Davidon TriSet Deflection Angles Only</v>
      </c>
      <c r="B152" s="42">
        <v>14.029307446000001</v>
      </c>
      <c r="C152" s="42">
        <v>1.3359870173999999</v>
      </c>
      <c r="D152" s="42">
        <v>10.774880743000001</v>
      </c>
      <c r="E152" s="42">
        <v>1.274582197</v>
      </c>
      <c r="F152" s="42">
        <v>3.6872759599</v>
      </c>
      <c r="G152" s="42">
        <v>-3.129132668</v>
      </c>
      <c r="H152" s="42">
        <v>1.4499208052999999</v>
      </c>
      <c r="I152" s="42">
        <v>-2.2770960740000001</v>
      </c>
      <c r="J152" s="42">
        <v>1.9959680184999999</v>
      </c>
      <c r="K152" s="42">
        <v>3.0439162572999998</v>
      </c>
      <c r="L152" s="42">
        <v>0.44807612730000002</v>
      </c>
      <c r="M152" s="42">
        <v>1.1952841793</v>
      </c>
      <c r="N152" s="42">
        <v>4.7917185253000003</v>
      </c>
      <c r="O152" s="42">
        <v>-2.2776489639999999</v>
      </c>
      <c r="P152">
        <v>0</v>
      </c>
      <c r="Q152" s="51"/>
    </row>
    <row r="153" spans="1:23" s="42" customFormat="1" x14ac:dyDescent="0.15">
      <c r="A153" s="139" t="str">
        <f t="shared" si="6"/>
        <v>CP03</v>
      </c>
      <c r="B153">
        <v>16.033766768</v>
      </c>
      <c r="C153">
        <v>-5.3079419970000004</v>
      </c>
      <c r="D153">
        <v>11.963546199</v>
      </c>
      <c r="E153">
        <v>1.0464683933000001</v>
      </c>
      <c r="F153">
        <v>6.8534454564000002</v>
      </c>
      <c r="G153">
        <v>-0.13699378100000001</v>
      </c>
      <c r="H153">
        <v>-1.407875846</v>
      </c>
      <c r="I153">
        <v>-1.526131175</v>
      </c>
      <c r="J153">
        <v>-2.5388677839999998</v>
      </c>
      <c r="K153">
        <v>4.1435974480000004</v>
      </c>
      <c r="L153">
        <v>4.4738616000000002E-3</v>
      </c>
      <c r="M153">
        <v>2.0816482429000001</v>
      </c>
      <c r="N153">
        <v>6.2539705208000003</v>
      </c>
      <c r="O153">
        <v>0.78721648560000002</v>
      </c>
      <c r="P153">
        <v>-3.7110320300000001</v>
      </c>
      <c r="Q153" s="51"/>
    </row>
    <row r="154" spans="1:23" s="42" customFormat="1" x14ac:dyDescent="0.15">
      <c r="A154" s="139" t="str">
        <f t="shared" si="6"/>
        <v>Steel Disc Core 45</v>
      </c>
      <c r="B154">
        <v>21.705848406000001</v>
      </c>
      <c r="C154">
        <v>-6.8121454259999998</v>
      </c>
      <c r="D154">
        <v>4.3862065337000002</v>
      </c>
      <c r="E154">
        <v>10.112632736</v>
      </c>
      <c r="F154">
        <v>0.81368526460000001</v>
      </c>
      <c r="G154">
        <v>-1.025266282</v>
      </c>
      <c r="H154">
        <v>-2.0984490899999999</v>
      </c>
      <c r="I154">
        <v>-0.68489520100000001</v>
      </c>
      <c r="J154">
        <v>-2.9998215269999999</v>
      </c>
      <c r="K154">
        <v>6.0367266621000004</v>
      </c>
      <c r="L154">
        <v>4.4347794882000002</v>
      </c>
      <c r="M154">
        <v>23.176660979000001</v>
      </c>
      <c r="N154">
        <v>7.5606672980000003</v>
      </c>
      <c r="O154">
        <v>-9.9717036019999998</v>
      </c>
      <c r="P154">
        <v>-6.1212017019999996</v>
      </c>
      <c r="Q154" s="51"/>
      <c r="U154" s="186"/>
      <c r="V154" s="186"/>
    </row>
    <row r="155" spans="1:23" s="42" customFormat="1" x14ac:dyDescent="0.15">
      <c r="A155" s="139" t="str">
        <f t="shared" si="6"/>
        <v>Ceramic Disc Core 45</v>
      </c>
      <c r="B155">
        <v>31.998638396</v>
      </c>
      <c r="C155">
        <v>-12.399061100000001</v>
      </c>
      <c r="D155">
        <v>4.4776535269000002</v>
      </c>
      <c r="E155">
        <v>4.2642174077000004</v>
      </c>
      <c r="F155">
        <v>3.9638492409000001</v>
      </c>
      <c r="G155">
        <v>-1.032801563</v>
      </c>
      <c r="H155">
        <v>-0.267055708</v>
      </c>
      <c r="I155">
        <v>-1.8945601480000001</v>
      </c>
      <c r="J155">
        <v>-2.200312576</v>
      </c>
      <c r="K155">
        <v>1.7699393201</v>
      </c>
      <c r="L155">
        <v>-1.7658858340000001</v>
      </c>
      <c r="M155">
        <v>4.1761742544000002</v>
      </c>
      <c r="N155">
        <v>4.0506096692</v>
      </c>
      <c r="O155">
        <v>-3.3897503690000002</v>
      </c>
      <c r="P155">
        <v>-0.14983516399999999</v>
      </c>
      <c r="Q155" s="51"/>
    </row>
    <row r="156" spans="1:23" s="42" customFormat="1" x14ac:dyDescent="0.15">
      <c r="A156" s="46" t="str">
        <f t="shared" si="6"/>
        <v>CP09 Straight Stream Only</v>
      </c>
      <c r="B156" s="42">
        <v>2.7376523355</v>
      </c>
      <c r="C156" s="42">
        <v>1.9787066003</v>
      </c>
      <c r="D156" s="42">
        <v>3.8832312105</v>
      </c>
      <c r="E156" s="42">
        <v>-0.72202611900000002</v>
      </c>
      <c r="F156" s="186">
        <v>0</v>
      </c>
      <c r="G156" s="42">
        <v>1.4012650607999999</v>
      </c>
      <c r="H156" s="42">
        <v>-0.768094626</v>
      </c>
      <c r="I156">
        <v>-0.76528455699999998</v>
      </c>
      <c r="J156" s="186">
        <v>0</v>
      </c>
      <c r="K156" s="186">
        <v>0</v>
      </c>
      <c r="L156" s="186">
        <v>0</v>
      </c>
      <c r="M156" s="42">
        <v>-0.16314463900000001</v>
      </c>
      <c r="N156" s="42">
        <v>1.9539099966</v>
      </c>
      <c r="O156" s="42">
        <v>0.1381822657</v>
      </c>
      <c r="P156" s="186">
        <v>0</v>
      </c>
      <c r="Q156" s="51"/>
    </row>
    <row r="157" spans="1:23" s="42" customFormat="1" x14ac:dyDescent="0.15">
      <c r="A157" s="46" t="str">
        <f t="shared" si="6"/>
        <v>Davidon TriSet Straight Stream Only</v>
      </c>
      <c r="B157" s="42">
        <v>1.3111129547</v>
      </c>
      <c r="C157" s="42">
        <v>0.79338318500000005</v>
      </c>
      <c r="D157" s="42">
        <v>2.5279057441999999</v>
      </c>
      <c r="E157" s="42">
        <v>-0.87782314900000002</v>
      </c>
      <c r="F157" s="186">
        <v>0</v>
      </c>
      <c r="G157" s="42">
        <v>0.7071143124</v>
      </c>
      <c r="H157" s="42">
        <v>-0.138553757</v>
      </c>
      <c r="I157" s="42">
        <v>-0.91175793800000005</v>
      </c>
      <c r="J157" s="186">
        <v>0</v>
      </c>
      <c r="K157" s="186">
        <v>0</v>
      </c>
      <c r="L157" s="186">
        <v>0</v>
      </c>
      <c r="M157" s="42">
        <v>-0.29572728700000001</v>
      </c>
      <c r="N157" s="42">
        <v>1.3269167794000001</v>
      </c>
      <c r="O157" s="42">
        <v>0.46411327940000002</v>
      </c>
      <c r="P157" s="186">
        <v>0</v>
      </c>
      <c r="Q157" s="51"/>
    </row>
    <row r="158" spans="1:23" s="42" customFormat="1" x14ac:dyDescent="0.15">
      <c r="A158" s="46" t="str">
        <f t="shared" si="6"/>
        <v>CP11TT 110° Flat Fan</v>
      </c>
      <c r="B158" s="42">
        <v>15.114893892</v>
      </c>
      <c r="C158" s="42">
        <v>-7.2984012199999997</v>
      </c>
      <c r="D158" s="42">
        <v>6.4253417758999998</v>
      </c>
      <c r="E158" s="42">
        <v>2.8805487055999999</v>
      </c>
      <c r="F158" s="42">
        <v>4.3901023351999999</v>
      </c>
      <c r="G158" s="42">
        <v>1.3150332479</v>
      </c>
      <c r="H158" s="42">
        <v>0.52602750210000004</v>
      </c>
      <c r="I158" s="42">
        <v>-8.7006480999999997E-2</v>
      </c>
      <c r="J158" s="42">
        <v>0.99887093959999995</v>
      </c>
      <c r="K158" s="42">
        <v>6.5611506228999996</v>
      </c>
      <c r="L158" s="42">
        <v>-0.36012808099999999</v>
      </c>
      <c r="M158" s="42">
        <v>4.0490328481000004</v>
      </c>
      <c r="N158" s="42">
        <v>8.8305870148000007</v>
      </c>
      <c r="O158" s="42">
        <v>9.3034681499999994E-2</v>
      </c>
      <c r="P158" s="42">
        <v>6.4106288481</v>
      </c>
      <c r="Q158" s="51"/>
    </row>
    <row r="159" spans="1:23" s="42" customFormat="1" x14ac:dyDescent="0.15">
      <c r="A159" s="46">
        <f t="shared" si="6"/>
        <v>0</v>
      </c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51"/>
    </row>
    <row r="160" spans="1:23" s="42" customFormat="1" ht="14" thickBot="1" x14ac:dyDescent="0.2">
      <c r="A160" s="47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9"/>
      <c r="Q160" s="51"/>
    </row>
    <row r="161" spans="1:17" s="42" customFormat="1" x14ac:dyDescent="0.1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</row>
    <row r="162" spans="1:17" s="42" customFormat="1" ht="14" thickBot="1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s="42" customFormat="1" x14ac:dyDescent="0.15">
      <c r="A163" s="137" t="s">
        <v>116</v>
      </c>
      <c r="B163" s="67" t="s">
        <v>55</v>
      </c>
      <c r="C163" s="67" t="s">
        <v>29</v>
      </c>
      <c r="D163" s="67" t="s">
        <v>31</v>
      </c>
      <c r="E163" s="67" t="s">
        <v>37</v>
      </c>
      <c r="F163" s="67" t="s">
        <v>30</v>
      </c>
      <c r="G163" s="67" t="s">
        <v>57</v>
      </c>
      <c r="H163" s="67" t="s">
        <v>56</v>
      </c>
      <c r="I163" s="67" t="s">
        <v>58</v>
      </c>
      <c r="J163" s="67" t="s">
        <v>59</v>
      </c>
      <c r="K163" s="67" t="s">
        <v>60</v>
      </c>
      <c r="L163" s="67" t="s">
        <v>61</v>
      </c>
      <c r="M163" s="67" t="s">
        <v>62</v>
      </c>
      <c r="N163" s="67" t="s">
        <v>63</v>
      </c>
      <c r="O163" s="67" t="s">
        <v>64</v>
      </c>
      <c r="P163" s="68" t="s">
        <v>65</v>
      </c>
      <c r="Q163" s="51"/>
    </row>
    <row r="164" spans="1:17" s="42" customFormat="1" x14ac:dyDescent="0.15">
      <c r="A164" s="139" t="str">
        <f>A2</f>
        <v>CP11TT 20° Flat Fan</v>
      </c>
      <c r="B164">
        <v>2.5899152880999998</v>
      </c>
      <c r="C164">
        <v>-1.540158871</v>
      </c>
      <c r="D164">
        <v>3.5029929633000001</v>
      </c>
      <c r="E164">
        <v>0.52540151889999998</v>
      </c>
      <c r="F164">
        <v>3.4353284078000002</v>
      </c>
      <c r="G164">
        <v>-0.24282177099999999</v>
      </c>
      <c r="H164">
        <v>-0.20289743700000001</v>
      </c>
      <c r="I164">
        <v>-0.34773368700000001</v>
      </c>
      <c r="J164">
        <v>-0.798953896</v>
      </c>
      <c r="K164">
        <v>2.4451994379999999</v>
      </c>
      <c r="L164">
        <v>0.1392977712</v>
      </c>
      <c r="M164">
        <v>7.1120108299999998E-2</v>
      </c>
      <c r="N164">
        <v>1.2406002753000001</v>
      </c>
      <c r="O164">
        <v>1.4778302753000001</v>
      </c>
      <c r="P164">
        <v>0.55082527479999999</v>
      </c>
      <c r="Q164" s="51"/>
    </row>
    <row r="165" spans="1:17" s="42" customFormat="1" x14ac:dyDescent="0.15">
      <c r="A165" s="139" t="str">
        <f t="shared" ref="A165:A181" si="7">A3</f>
        <v>CP11TT 40° Flat Fan</v>
      </c>
      <c r="B165">
        <v>3.1260670736999998</v>
      </c>
      <c r="C165">
        <v>-2.2500032299999999</v>
      </c>
      <c r="D165">
        <v>3.2578710386999998</v>
      </c>
      <c r="E165">
        <v>2.0506266220999998</v>
      </c>
      <c r="F165">
        <v>3.8155968898000001</v>
      </c>
      <c r="G165">
        <v>-0.76057171800000001</v>
      </c>
      <c r="H165">
        <v>-0.94056948600000001</v>
      </c>
      <c r="I165">
        <v>-1.225828358</v>
      </c>
      <c r="J165">
        <v>5.26592507E-2</v>
      </c>
      <c r="K165">
        <v>1.891405175</v>
      </c>
      <c r="L165">
        <v>1.171587175</v>
      </c>
      <c r="M165">
        <v>2.0034273443999999</v>
      </c>
      <c r="N165">
        <v>2.0633990932000001</v>
      </c>
      <c r="O165">
        <v>0.71390019319999998</v>
      </c>
      <c r="P165">
        <v>1.4324767598999999</v>
      </c>
      <c r="Q165" s="51"/>
    </row>
    <row r="166" spans="1:17" s="42" customFormat="1" x14ac:dyDescent="0.15">
      <c r="A166" s="139" t="str">
        <f t="shared" si="7"/>
        <v>CP11TT 80° Flat Fan</v>
      </c>
      <c r="B166">
        <v>4.8065002122999996</v>
      </c>
      <c r="C166">
        <v>-6.2056088389999999</v>
      </c>
      <c r="D166">
        <v>3.6233710450999999</v>
      </c>
      <c r="E166">
        <v>2.4138899387000001</v>
      </c>
      <c r="F166">
        <v>4.7252020113000004</v>
      </c>
      <c r="G166">
        <v>-3.3873542830000001</v>
      </c>
      <c r="H166">
        <v>-0.203823691</v>
      </c>
      <c r="I166">
        <v>-2.8248421810000002</v>
      </c>
      <c r="J166">
        <v>2.2007461210999999</v>
      </c>
      <c r="K166">
        <v>0.94527050629999998</v>
      </c>
      <c r="L166">
        <v>1.1305952771000001</v>
      </c>
      <c r="M166">
        <v>6.3182062766999998</v>
      </c>
      <c r="N166">
        <v>2.7132069229</v>
      </c>
      <c r="O166">
        <v>0.61321442289999994</v>
      </c>
      <c r="P166">
        <v>3.1338075894999999</v>
      </c>
      <c r="Q166" s="51"/>
    </row>
    <row r="167" spans="1:17" s="42" customFormat="1" x14ac:dyDescent="0.15">
      <c r="A167" s="139" t="str">
        <f t="shared" si="7"/>
        <v>CP11TT Straight Stream</v>
      </c>
      <c r="B167">
        <v>1.2849182641000001</v>
      </c>
      <c r="C167">
        <v>6.3728070900000003E-2</v>
      </c>
      <c r="D167">
        <v>1.0454445337</v>
      </c>
      <c r="E167">
        <v>-0.44803291699999997</v>
      </c>
      <c r="F167">
        <v>0.35334559240000002</v>
      </c>
      <c r="G167">
        <v>0.36308956279999999</v>
      </c>
      <c r="H167">
        <v>4.99352032E-2</v>
      </c>
      <c r="I167">
        <v>-0.41536763500000001</v>
      </c>
      <c r="J167">
        <v>-0.24992446400000001</v>
      </c>
      <c r="K167">
        <v>0.1025235416</v>
      </c>
      <c r="L167">
        <v>-0.14209000499999999</v>
      </c>
      <c r="M167">
        <v>0.27539363210000001</v>
      </c>
      <c r="N167">
        <v>0.59363342939999997</v>
      </c>
      <c r="O167">
        <v>-0.10150938599999999</v>
      </c>
      <c r="P167">
        <v>-0.261074425</v>
      </c>
      <c r="Q167" s="51"/>
    </row>
    <row r="168" spans="1:17" s="42" customFormat="1" x14ac:dyDescent="0.15">
      <c r="A168" s="139" t="str">
        <f t="shared" si="7"/>
        <v>Standard 40° Flat Fan</v>
      </c>
      <c r="B168">
        <v>3.0190278726000002</v>
      </c>
      <c r="C168">
        <v>-2.1405236169999999</v>
      </c>
      <c r="D168">
        <v>3.6370131042999998</v>
      </c>
      <c r="E168">
        <v>1.9295484799</v>
      </c>
      <c r="F168">
        <v>2.1272143186000001</v>
      </c>
      <c r="G168">
        <v>-7.2020295999999998E-2</v>
      </c>
      <c r="H168">
        <v>3.0382880915000001</v>
      </c>
      <c r="I168">
        <v>1.0855163663</v>
      </c>
      <c r="J168">
        <v>-0.93045029700000004</v>
      </c>
      <c r="K168">
        <v>1.3667948006999999</v>
      </c>
      <c r="L168">
        <v>0.648218234</v>
      </c>
      <c r="M168">
        <v>-0.96926146099999999</v>
      </c>
      <c r="N168">
        <v>2.5980893838000001</v>
      </c>
      <c r="O168">
        <v>-1.33717686</v>
      </c>
      <c r="P168">
        <v>2.1365726893999999</v>
      </c>
      <c r="Q168" s="51"/>
    </row>
    <row r="169" spans="1:17" s="42" customFormat="1" x14ac:dyDescent="0.15">
      <c r="A169" s="139" t="str">
        <f t="shared" si="7"/>
        <v>Standard 80° Flat Fan</v>
      </c>
      <c r="B169">
        <v>4.0537335105999999</v>
      </c>
      <c r="C169">
        <v>-6.0886989649999999</v>
      </c>
      <c r="D169">
        <v>4.3339090710999999</v>
      </c>
      <c r="E169">
        <v>6.5403659845000002</v>
      </c>
      <c r="F169">
        <v>0.33731263760000002</v>
      </c>
      <c r="G169">
        <v>0.66256685250000003</v>
      </c>
      <c r="H169">
        <v>0.39092821709999998</v>
      </c>
      <c r="I169">
        <v>-1.108906621</v>
      </c>
      <c r="J169">
        <v>1.3211837878999999</v>
      </c>
      <c r="K169">
        <v>2.2910347013000001</v>
      </c>
      <c r="L169">
        <v>0.40291386800000001</v>
      </c>
      <c r="M169">
        <v>1.1242798630999999</v>
      </c>
      <c r="N169">
        <v>2.8650779858000002</v>
      </c>
      <c r="O169">
        <v>-2.5101862289999999</v>
      </c>
      <c r="P169">
        <v>-1.295317719</v>
      </c>
      <c r="Q169" s="51"/>
    </row>
    <row r="170" spans="1:17" s="42" customFormat="1" x14ac:dyDescent="0.15">
      <c r="A170" s="139" t="str">
        <f t="shared" si="7"/>
        <v>Steel Disc Core Straight Stream</v>
      </c>
      <c r="B170">
        <v>1.2928124721000001</v>
      </c>
      <c r="C170">
        <v>1.2852792085</v>
      </c>
      <c r="D170">
        <v>1.6892944819</v>
      </c>
      <c r="E170">
        <v>-0.25047744900000002</v>
      </c>
      <c r="F170">
        <v>9.9264323000000002E-2</v>
      </c>
      <c r="G170">
        <v>1.4122082281999999</v>
      </c>
      <c r="H170">
        <v>-0.21829163900000001</v>
      </c>
      <c r="I170">
        <v>-0.487913665</v>
      </c>
      <c r="J170">
        <v>4.4264120099999998E-2</v>
      </c>
      <c r="K170">
        <v>-9.3102613000000001E-2</v>
      </c>
      <c r="L170">
        <v>-0.235599525</v>
      </c>
      <c r="M170">
        <v>1.4808388461999999</v>
      </c>
      <c r="N170">
        <v>0.92467701349999998</v>
      </c>
      <c r="O170">
        <v>-0.26553438400000001</v>
      </c>
      <c r="P170">
        <v>-0.59680601099999997</v>
      </c>
      <c r="Q170" s="51"/>
    </row>
    <row r="171" spans="1:17" s="42" customFormat="1" x14ac:dyDescent="0.15">
      <c r="A171" s="139" t="str">
        <f t="shared" si="7"/>
        <v>Ceramic Disc Core Straight Stream</v>
      </c>
      <c r="B171">
        <v>0.89604873929999995</v>
      </c>
      <c r="C171">
        <v>-6.0994093999999999E-2</v>
      </c>
      <c r="D171">
        <v>1.1428037906999999</v>
      </c>
      <c r="E171">
        <v>-0.17781829199999999</v>
      </c>
      <c r="F171">
        <v>0.41951844599999999</v>
      </c>
      <c r="G171">
        <v>0.15857636150000001</v>
      </c>
      <c r="H171">
        <v>-0.11128384700000001</v>
      </c>
      <c r="I171">
        <v>-0.46882681300000001</v>
      </c>
      <c r="J171">
        <v>-0.209417936</v>
      </c>
      <c r="K171">
        <v>0.44179299</v>
      </c>
      <c r="L171">
        <v>7.44486855E-2</v>
      </c>
      <c r="M171">
        <v>0.31932485090000001</v>
      </c>
      <c r="N171">
        <v>0.52659791820000001</v>
      </c>
      <c r="O171">
        <v>0.34096143229999998</v>
      </c>
      <c r="P171">
        <v>-0.33548794700000001</v>
      </c>
      <c r="Q171" s="51"/>
    </row>
    <row r="172" spans="1:17" s="42" customFormat="1" x14ac:dyDescent="0.15">
      <c r="A172" s="139" t="str">
        <f t="shared" si="7"/>
        <v>CP09 Deflection Angles Only</v>
      </c>
      <c r="B172">
        <v>4.4036727787999999</v>
      </c>
      <c r="C172">
        <v>-1.1169792650000001</v>
      </c>
      <c r="D172">
        <v>5.2751309986999999</v>
      </c>
      <c r="E172">
        <v>-0.116084483</v>
      </c>
      <c r="F172">
        <v>1.5365432111999999</v>
      </c>
      <c r="G172">
        <v>-0.72901076899999995</v>
      </c>
      <c r="H172">
        <v>0.21603057540000001</v>
      </c>
      <c r="I172">
        <v>-0.41067145999999999</v>
      </c>
      <c r="J172">
        <v>-0.22510861400000001</v>
      </c>
      <c r="K172">
        <v>1.7174502234</v>
      </c>
      <c r="L172">
        <v>-0.101555335</v>
      </c>
      <c r="M172">
        <v>0.4337183006</v>
      </c>
      <c r="N172">
        <v>2.5143969676000002</v>
      </c>
      <c r="O172">
        <v>-0.71982421900000004</v>
      </c>
      <c r="P172">
        <v>0</v>
      </c>
      <c r="Q172" s="51"/>
    </row>
    <row r="173" spans="1:17" s="42" customFormat="1" x14ac:dyDescent="0.15">
      <c r="A173" s="139" t="str">
        <f t="shared" si="7"/>
        <v>Davidon TriSet Deflection Angles Only</v>
      </c>
      <c r="B173" s="42">
        <v>6.7594940237000003</v>
      </c>
      <c r="C173" s="42">
        <v>0.75133242580000004</v>
      </c>
      <c r="D173" s="42">
        <v>6.1886015589000003</v>
      </c>
      <c r="E173" s="42">
        <v>0.41939000900000001</v>
      </c>
      <c r="F173" s="42">
        <v>2.0228934488000001</v>
      </c>
      <c r="G173" s="42">
        <v>-1.0276932320000001</v>
      </c>
      <c r="H173" s="42">
        <v>0.67684967289999998</v>
      </c>
      <c r="I173" s="42">
        <v>-0.81555528200000005</v>
      </c>
      <c r="J173" s="42">
        <v>0.8082384695</v>
      </c>
      <c r="K173" s="42">
        <v>2.0782379481</v>
      </c>
      <c r="L173" s="42">
        <v>0.1587922866</v>
      </c>
      <c r="M173" s="42">
        <v>0.1022674121</v>
      </c>
      <c r="N173" s="42">
        <v>2.5938028487000002</v>
      </c>
      <c r="O173" s="42">
        <v>-0.84323335300000002</v>
      </c>
      <c r="P173">
        <v>0</v>
      </c>
      <c r="Q173" s="51"/>
    </row>
    <row r="174" spans="1:17" s="42" customFormat="1" x14ac:dyDescent="0.15">
      <c r="A174" s="139" t="str">
        <f t="shared" si="7"/>
        <v>CP03</v>
      </c>
      <c r="B174">
        <v>7.6645809341</v>
      </c>
      <c r="C174">
        <v>-1.799638157</v>
      </c>
      <c r="D174">
        <v>7.0521791866000001</v>
      </c>
      <c r="E174">
        <v>4.3607265999999999E-3</v>
      </c>
      <c r="F174">
        <v>3.4060760314</v>
      </c>
      <c r="G174">
        <v>-1.062238544</v>
      </c>
      <c r="H174">
        <v>0.2020954023</v>
      </c>
      <c r="I174">
        <v>-0.32084770099999999</v>
      </c>
      <c r="J174">
        <v>-0.61431633200000002</v>
      </c>
      <c r="K174">
        <v>3.2658771507000002</v>
      </c>
      <c r="L174">
        <v>-0.56221225699999999</v>
      </c>
      <c r="M174">
        <v>0.78319984819999999</v>
      </c>
      <c r="N174">
        <v>2.9763370343000002</v>
      </c>
      <c r="O174">
        <v>-0.399270509</v>
      </c>
      <c r="P174">
        <v>-1.3218372819999999</v>
      </c>
      <c r="Q174" s="51"/>
    </row>
    <row r="175" spans="1:17" s="42" customFormat="1" x14ac:dyDescent="0.15">
      <c r="A175" s="139" t="str">
        <f t="shared" si="7"/>
        <v>Steel Disc Core 45</v>
      </c>
      <c r="B175">
        <v>10.129741882999999</v>
      </c>
      <c r="C175">
        <v>-3.9703806309999998</v>
      </c>
      <c r="D175">
        <v>2.6757306621999999</v>
      </c>
      <c r="E175">
        <v>5.7512511533000001</v>
      </c>
      <c r="F175">
        <v>9.6484405100000004E-2</v>
      </c>
      <c r="G175">
        <v>-0.47964974900000001</v>
      </c>
      <c r="H175">
        <v>-1.3436616180000001</v>
      </c>
      <c r="I175">
        <v>-0.38120522600000001</v>
      </c>
      <c r="J175">
        <v>-1.735247478</v>
      </c>
      <c r="K175">
        <v>3.8178543767000002</v>
      </c>
      <c r="L175">
        <v>2.292554821</v>
      </c>
      <c r="M175">
        <v>13.833589907</v>
      </c>
      <c r="N175">
        <v>4.1214315131000001</v>
      </c>
      <c r="O175">
        <v>-5.7898423589999997</v>
      </c>
      <c r="P175">
        <v>-3.8894467480000001</v>
      </c>
      <c r="Q175" s="51"/>
    </row>
    <row r="176" spans="1:17" s="42" customFormat="1" x14ac:dyDescent="0.15">
      <c r="A176" s="139" t="str">
        <f t="shared" si="7"/>
        <v>Ceramic Disc Core 45</v>
      </c>
      <c r="B176">
        <v>15.998724864</v>
      </c>
      <c r="C176">
        <v>-7.486238352</v>
      </c>
      <c r="D176">
        <v>2.9831435536000002</v>
      </c>
      <c r="E176">
        <v>2.3133889835999999</v>
      </c>
      <c r="F176">
        <v>2.3513268575000001</v>
      </c>
      <c r="G176">
        <v>-1.0663346309999999</v>
      </c>
      <c r="H176">
        <v>-0.54395995799999997</v>
      </c>
      <c r="I176">
        <v>-0.86818143400000003</v>
      </c>
      <c r="J176">
        <v>-1.873579586</v>
      </c>
      <c r="K176">
        <v>1.3795429048000001</v>
      </c>
      <c r="L176">
        <v>-1.620227772</v>
      </c>
      <c r="M176">
        <v>3.2401060783000002</v>
      </c>
      <c r="N176">
        <v>2.0204282125000002</v>
      </c>
      <c r="O176">
        <v>-2.232457009</v>
      </c>
      <c r="P176">
        <v>-0.48470569800000002</v>
      </c>
      <c r="Q176" s="51"/>
    </row>
    <row r="177" spans="1:17" s="42" customFormat="1" x14ac:dyDescent="0.15">
      <c r="A177" s="139" t="str">
        <f t="shared" si="7"/>
        <v>CP09 Straight Stream Only</v>
      </c>
      <c r="B177" s="42">
        <v>1.2130415993999999</v>
      </c>
      <c r="C177" s="42">
        <v>1.0203477644000001</v>
      </c>
      <c r="D177" s="42">
        <v>1.8866229888999999</v>
      </c>
      <c r="E177" s="42">
        <v>-0.39188726200000001</v>
      </c>
      <c r="F177" s="186">
        <v>0</v>
      </c>
      <c r="G177" s="42">
        <v>0.75288959070000006</v>
      </c>
      <c r="H177" s="42">
        <v>-0.39131929799999998</v>
      </c>
      <c r="I177" s="42">
        <v>-0.40679980500000001</v>
      </c>
      <c r="J177" s="186">
        <v>0</v>
      </c>
      <c r="K177" s="186">
        <v>0</v>
      </c>
      <c r="L177" s="186">
        <v>0</v>
      </c>
      <c r="M177" s="42">
        <v>-0.12585090700000001</v>
      </c>
      <c r="N177" s="42">
        <v>1.0054604755000001</v>
      </c>
      <c r="O177" s="42">
        <v>7.5855613700000005E-2</v>
      </c>
      <c r="P177" s="186">
        <v>0</v>
      </c>
      <c r="Q177" s="51"/>
    </row>
    <row r="178" spans="1:17" s="42" customFormat="1" x14ac:dyDescent="0.15">
      <c r="A178" s="139" t="str">
        <f t="shared" si="7"/>
        <v>Davidon TriSet Straight Stream Only</v>
      </c>
      <c r="B178" s="42">
        <v>0.58500247770000002</v>
      </c>
      <c r="C178" s="42">
        <v>0.38400491910000001</v>
      </c>
      <c r="D178" s="42">
        <v>1.1569609483000001</v>
      </c>
      <c r="E178" s="42">
        <v>-0.42764657</v>
      </c>
      <c r="F178" s="186">
        <v>0</v>
      </c>
      <c r="G178" s="42">
        <v>0.34688721290000002</v>
      </c>
      <c r="H178" s="42">
        <v>-7.4239013000000006E-2</v>
      </c>
      <c r="I178" s="42">
        <v>-0.43104265600000002</v>
      </c>
      <c r="J178" s="186">
        <v>0</v>
      </c>
      <c r="K178" s="186">
        <v>0</v>
      </c>
      <c r="L178" s="186">
        <v>0</v>
      </c>
      <c r="M178" s="42">
        <v>-0.185618166</v>
      </c>
      <c r="N178" s="42">
        <v>0.63722917889999997</v>
      </c>
      <c r="O178" s="42">
        <v>0.2207026789</v>
      </c>
      <c r="P178" s="186">
        <v>0</v>
      </c>
      <c r="Q178" s="51"/>
    </row>
    <row r="179" spans="1:17" s="42" customFormat="1" x14ac:dyDescent="0.15">
      <c r="A179" s="139" t="str">
        <f t="shared" si="7"/>
        <v>CP11TT 110° Flat Fan</v>
      </c>
      <c r="B179">
        <v>2.0452352251999999</v>
      </c>
      <c r="C179">
        <v>1.0345798167</v>
      </c>
      <c r="D179">
        <v>2.8074534041999999</v>
      </c>
      <c r="E179">
        <v>-0.27024699800000002</v>
      </c>
      <c r="F179">
        <v>-0.21134641200000001</v>
      </c>
      <c r="G179">
        <v>0.65712576140000001</v>
      </c>
      <c r="H179">
        <v>0.14326741749999999</v>
      </c>
      <c r="I179">
        <v>-0.28724815799999998</v>
      </c>
      <c r="J179">
        <v>0.23597493059999999</v>
      </c>
      <c r="K179">
        <v>-0.12994953300000001</v>
      </c>
      <c r="L179">
        <v>-9.4926336E-2</v>
      </c>
      <c r="M179">
        <v>-0.51345502700000001</v>
      </c>
      <c r="N179">
        <v>1.2291757156000001</v>
      </c>
      <c r="O179">
        <v>0.1421858241</v>
      </c>
      <c r="P179">
        <v>0.2540426449</v>
      </c>
      <c r="Q179" s="51"/>
    </row>
    <row r="180" spans="1:17" s="42" customFormat="1" x14ac:dyDescent="0.15">
      <c r="A180" s="139">
        <f t="shared" si="7"/>
        <v>0</v>
      </c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51"/>
    </row>
    <row r="181" spans="1:17" s="42" customFormat="1" ht="14" thickBot="1" x14ac:dyDescent="0.2">
      <c r="A181" s="160">
        <f t="shared" si="7"/>
        <v>0</v>
      </c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9"/>
      <c r="Q181" s="51"/>
    </row>
    <row r="182" spans="1:17" s="42" customFormat="1" x14ac:dyDescent="0.1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</row>
    <row r="183" spans="1:17" s="42" customFormat="1" x14ac:dyDescent="0.1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</row>
    <row r="184" spans="1:17" s="42" customFormat="1" ht="14" thickBot="1" x14ac:dyDescent="0.2"/>
    <row r="185" spans="1:17" s="42" customFormat="1" ht="14" thickBot="1" x14ac:dyDescent="0.2">
      <c r="A185" s="60" t="s">
        <v>29</v>
      </c>
      <c r="B185" s="53"/>
      <c r="C185" s="53">
        <v>1</v>
      </c>
      <c r="D185" s="53">
        <v>2</v>
      </c>
      <c r="E185" s="53">
        <v>3</v>
      </c>
      <c r="F185" s="53">
        <v>4</v>
      </c>
      <c r="G185" s="53">
        <v>5</v>
      </c>
      <c r="H185" s="53">
        <v>6</v>
      </c>
      <c r="I185" s="53">
        <v>7</v>
      </c>
      <c r="J185" s="53">
        <v>8</v>
      </c>
      <c r="K185" s="53">
        <v>9</v>
      </c>
      <c r="L185" s="53">
        <v>10</v>
      </c>
      <c r="M185" s="53">
        <v>11</v>
      </c>
      <c r="N185" s="53">
        <v>12</v>
      </c>
      <c r="O185" s="53"/>
      <c r="P185" s="54"/>
    </row>
    <row r="186" spans="1:17" s="42" customFormat="1" x14ac:dyDescent="0.15">
      <c r="A186" s="134" t="str">
        <f>A2</f>
        <v>CP11TT 20° Flat Fan</v>
      </c>
      <c r="B186" s="67" t="s">
        <v>83</v>
      </c>
      <c r="C186" s="66">
        <v>4</v>
      </c>
      <c r="D186" s="66">
        <v>6</v>
      </c>
      <c r="E186" s="66">
        <v>8</v>
      </c>
      <c r="F186" s="66">
        <v>10</v>
      </c>
      <c r="G186" s="66">
        <v>12</v>
      </c>
      <c r="H186" s="66">
        <v>15</v>
      </c>
      <c r="I186" s="67">
        <v>20</v>
      </c>
      <c r="J186" s="67"/>
      <c r="K186" s="67"/>
      <c r="L186" s="67"/>
      <c r="M186" s="67"/>
      <c r="N186" s="67"/>
      <c r="O186" s="67"/>
      <c r="P186" s="68"/>
    </row>
    <row r="187" spans="1:17" s="42" customFormat="1" x14ac:dyDescent="0.15">
      <c r="A187" s="134" t="str">
        <f t="shared" ref="A187:A202" si="8">A3</f>
        <v>CP11TT 40° Flat Fan</v>
      </c>
      <c r="B187" s="51" t="s">
        <v>84</v>
      </c>
      <c r="C187" s="12">
        <v>4</v>
      </c>
      <c r="D187" s="12">
        <v>6</v>
      </c>
      <c r="E187" s="12">
        <v>8</v>
      </c>
      <c r="F187" s="12">
        <v>10</v>
      </c>
      <c r="G187" s="12">
        <v>12</v>
      </c>
      <c r="H187" s="12">
        <v>15</v>
      </c>
      <c r="I187" s="12">
        <v>20</v>
      </c>
      <c r="J187" s="12">
        <v>25</v>
      </c>
      <c r="K187" s="12">
        <v>30</v>
      </c>
      <c r="L187" s="51"/>
      <c r="M187" s="51"/>
      <c r="N187" s="51"/>
      <c r="O187" s="51"/>
      <c r="P187" s="56"/>
    </row>
    <row r="188" spans="1:17" s="42" customFormat="1" x14ac:dyDescent="0.15">
      <c r="A188" s="134" t="str">
        <f t="shared" si="8"/>
        <v>CP11TT 80° Flat Fan</v>
      </c>
      <c r="B188" s="51" t="s">
        <v>93</v>
      </c>
      <c r="C188" s="42">
        <v>2</v>
      </c>
      <c r="D188" s="42">
        <v>3</v>
      </c>
      <c r="E188" s="12">
        <v>4</v>
      </c>
      <c r="F188" s="42">
        <v>5</v>
      </c>
      <c r="G188" s="12">
        <v>6</v>
      </c>
      <c r="H188" s="12">
        <v>8</v>
      </c>
      <c r="I188" s="12">
        <v>10</v>
      </c>
      <c r="J188" s="12">
        <v>12</v>
      </c>
      <c r="K188" s="12">
        <v>15</v>
      </c>
      <c r="L188" s="12">
        <v>20</v>
      </c>
      <c r="M188" s="12">
        <v>25</v>
      </c>
      <c r="N188" s="12">
        <v>30</v>
      </c>
      <c r="O188" s="51"/>
      <c r="P188" s="56"/>
    </row>
    <row r="189" spans="1:17" s="42" customFormat="1" x14ac:dyDescent="0.15">
      <c r="A189" s="134" t="str">
        <f t="shared" si="8"/>
        <v>CP11TT Straight Stream</v>
      </c>
      <c r="B189" s="12" t="s">
        <v>96</v>
      </c>
      <c r="C189" s="12">
        <v>6</v>
      </c>
      <c r="D189" s="12">
        <v>8</v>
      </c>
      <c r="E189" s="12">
        <v>10</v>
      </c>
      <c r="F189" s="12">
        <v>12</v>
      </c>
      <c r="G189" s="12">
        <v>15</v>
      </c>
      <c r="H189" s="12">
        <v>20</v>
      </c>
      <c r="I189" s="12">
        <v>25</v>
      </c>
      <c r="J189" s="51"/>
      <c r="K189" s="51"/>
      <c r="L189" s="51"/>
      <c r="M189" s="51"/>
      <c r="N189" s="51"/>
      <c r="O189" s="51"/>
      <c r="P189" s="56"/>
    </row>
    <row r="190" spans="1:17" s="42" customFormat="1" x14ac:dyDescent="0.15">
      <c r="A190" s="134" t="str">
        <f t="shared" si="8"/>
        <v>Standard 40° Flat Fan</v>
      </c>
      <c r="B190" s="12" t="s">
        <v>93</v>
      </c>
      <c r="C190" s="12">
        <v>2</v>
      </c>
      <c r="D190" s="12">
        <v>4</v>
      </c>
      <c r="E190" s="12">
        <v>6</v>
      </c>
      <c r="F190" s="12">
        <v>8</v>
      </c>
      <c r="G190" s="12">
        <v>10</v>
      </c>
      <c r="H190" s="12">
        <v>12</v>
      </c>
      <c r="I190" s="12">
        <v>15</v>
      </c>
      <c r="J190" s="12">
        <v>20</v>
      </c>
      <c r="K190" s="12">
        <v>30</v>
      </c>
      <c r="L190" s="51"/>
      <c r="M190" s="51"/>
      <c r="N190" s="51"/>
      <c r="O190" s="51"/>
      <c r="P190" s="56"/>
    </row>
    <row r="191" spans="1:17" s="42" customFormat="1" x14ac:dyDescent="0.15">
      <c r="A191" s="134" t="str">
        <f t="shared" si="8"/>
        <v>Standard 80° Flat Fan</v>
      </c>
      <c r="B191" s="12" t="s">
        <v>93</v>
      </c>
      <c r="C191" s="12">
        <v>2</v>
      </c>
      <c r="D191" s="12">
        <v>4</v>
      </c>
      <c r="E191" s="12">
        <v>6</v>
      </c>
      <c r="F191" s="12">
        <v>8</v>
      </c>
      <c r="G191" s="12">
        <v>10</v>
      </c>
      <c r="H191" s="12">
        <v>12</v>
      </c>
      <c r="I191" s="12">
        <v>15</v>
      </c>
      <c r="J191" s="12">
        <v>20</v>
      </c>
      <c r="K191" s="12">
        <v>30</v>
      </c>
      <c r="L191" s="51"/>
      <c r="M191" s="51"/>
      <c r="N191" s="51"/>
      <c r="O191" s="51"/>
      <c r="P191" s="56"/>
    </row>
    <row r="192" spans="1:17" s="42" customFormat="1" x14ac:dyDescent="0.15">
      <c r="A192" s="134" t="str">
        <f t="shared" si="8"/>
        <v>Steel Disc Core Straight Stream</v>
      </c>
      <c r="B192" s="12" t="s">
        <v>98</v>
      </c>
      <c r="C192" s="12">
        <v>2</v>
      </c>
      <c r="D192" s="12">
        <v>3</v>
      </c>
      <c r="E192" s="12">
        <v>4</v>
      </c>
      <c r="F192" s="12">
        <v>5</v>
      </c>
      <c r="G192" s="12">
        <v>6</v>
      </c>
      <c r="H192" s="12">
        <v>7</v>
      </c>
      <c r="I192" s="12">
        <v>8</v>
      </c>
      <c r="J192" s="12">
        <v>10</v>
      </c>
      <c r="K192" s="12">
        <v>12</v>
      </c>
      <c r="L192" s="51"/>
      <c r="M192" s="51"/>
      <c r="N192" s="51"/>
      <c r="O192" s="51"/>
      <c r="P192" s="56"/>
    </row>
    <row r="193" spans="1:16" s="42" customFormat="1" x14ac:dyDescent="0.15">
      <c r="A193" s="134" t="str">
        <f t="shared" si="8"/>
        <v>Ceramic Disc Core Straight Stream</v>
      </c>
      <c r="B193" s="12" t="s">
        <v>87</v>
      </c>
      <c r="C193" s="12">
        <v>2</v>
      </c>
      <c r="D193" s="12">
        <v>4</v>
      </c>
      <c r="E193" s="12">
        <v>6</v>
      </c>
      <c r="F193" s="12">
        <v>8</v>
      </c>
      <c r="G193" s="12">
        <v>10</v>
      </c>
      <c r="H193" s="12"/>
      <c r="I193" s="12"/>
      <c r="J193" s="12"/>
      <c r="K193" s="12"/>
      <c r="L193" s="51"/>
      <c r="M193" s="51"/>
      <c r="N193" s="51"/>
      <c r="O193" s="51"/>
      <c r="P193" s="56"/>
    </row>
    <row r="194" spans="1:16" s="42" customFormat="1" x14ac:dyDescent="0.15">
      <c r="A194" s="134" t="str">
        <f t="shared" si="8"/>
        <v>CP09 Deflection Angles Only</v>
      </c>
      <c r="B194" s="12" t="s">
        <v>94</v>
      </c>
      <c r="C194" s="12">
        <v>6.2E-2</v>
      </c>
      <c r="D194" s="12">
        <v>7.8E-2</v>
      </c>
      <c r="E194" s="12">
        <v>0.125</v>
      </c>
      <c r="F194" s="12">
        <v>0.17199999999999999</v>
      </c>
      <c r="G194" s="12"/>
      <c r="H194" s="51"/>
      <c r="I194" s="51"/>
      <c r="J194" s="51"/>
      <c r="K194" s="51"/>
      <c r="L194" s="51"/>
      <c r="M194" s="51"/>
      <c r="N194" s="51"/>
      <c r="O194" s="51"/>
      <c r="P194" s="56"/>
    </row>
    <row r="195" spans="1:16" s="42" customFormat="1" x14ac:dyDescent="0.15">
      <c r="A195" s="134" t="str">
        <f t="shared" si="8"/>
        <v>Davidon TriSet Deflection Angles Only</v>
      </c>
      <c r="B195" s="12" t="s">
        <v>99</v>
      </c>
      <c r="C195" s="12">
        <v>6.2E-2</v>
      </c>
      <c r="D195" s="12">
        <v>7.8E-2</v>
      </c>
      <c r="E195" s="12">
        <v>0.125</v>
      </c>
      <c r="F195" s="12"/>
      <c r="G195" s="12"/>
      <c r="H195" s="12"/>
      <c r="I195" s="12"/>
      <c r="J195" s="51"/>
      <c r="K195" s="51"/>
      <c r="L195" s="51"/>
      <c r="M195" s="51"/>
      <c r="N195" s="51"/>
      <c r="O195" s="51"/>
      <c r="P195" s="56"/>
    </row>
    <row r="196" spans="1:16" s="42" customFormat="1" x14ac:dyDescent="0.15">
      <c r="A196" s="134" t="str">
        <f t="shared" si="8"/>
        <v>CP03</v>
      </c>
      <c r="B196" s="185" t="s">
        <v>94</v>
      </c>
      <c r="C196" s="12">
        <v>6.2E-2</v>
      </c>
      <c r="D196" s="12">
        <v>7.8E-2</v>
      </c>
      <c r="E196" s="12">
        <v>0.125</v>
      </c>
      <c r="F196" s="12">
        <v>0.17199999999999999</v>
      </c>
      <c r="G196" s="12"/>
      <c r="H196" s="12"/>
      <c r="I196" s="12"/>
      <c r="J196" s="12"/>
      <c r="K196" s="12"/>
      <c r="L196" s="51"/>
      <c r="M196" s="51"/>
      <c r="N196" s="51"/>
      <c r="O196" s="51"/>
      <c r="P196" s="56"/>
    </row>
    <row r="197" spans="1:16" s="42" customFormat="1" x14ac:dyDescent="0.15">
      <c r="A197" s="134" t="str">
        <f t="shared" si="8"/>
        <v>Steel Disc Core 45</v>
      </c>
      <c r="B197" s="12" t="s">
        <v>86</v>
      </c>
      <c r="C197" s="12">
        <v>2</v>
      </c>
      <c r="D197" s="12">
        <v>4</v>
      </c>
      <c r="E197" s="12">
        <v>6</v>
      </c>
      <c r="F197" s="12">
        <v>8</v>
      </c>
      <c r="G197" s="12">
        <v>10</v>
      </c>
      <c r="H197" s="12">
        <v>12</v>
      </c>
      <c r="I197" s="12">
        <v>14</v>
      </c>
      <c r="J197" s="12">
        <v>16</v>
      </c>
      <c r="K197" s="51"/>
      <c r="L197" s="51"/>
      <c r="M197" s="51"/>
      <c r="N197" s="51"/>
      <c r="O197" s="51"/>
      <c r="P197" s="56"/>
    </row>
    <row r="198" spans="1:16" s="42" customFormat="1" x14ac:dyDescent="0.15">
      <c r="A198" s="134" t="str">
        <f t="shared" si="8"/>
        <v>Ceramic Disc Core 45</v>
      </c>
      <c r="B198" s="12" t="s">
        <v>87</v>
      </c>
      <c r="C198" s="12">
        <v>2</v>
      </c>
      <c r="D198" s="12">
        <v>4</v>
      </c>
      <c r="E198" s="12">
        <v>6</v>
      </c>
      <c r="F198" s="12">
        <v>8</v>
      </c>
      <c r="G198" s="12">
        <v>10</v>
      </c>
      <c r="H198" s="51"/>
      <c r="I198" s="51"/>
      <c r="J198" s="51"/>
      <c r="K198" s="51"/>
      <c r="L198" s="51"/>
      <c r="M198" s="51"/>
      <c r="N198" s="51"/>
      <c r="O198" s="51"/>
      <c r="P198" s="56"/>
    </row>
    <row r="199" spans="1:16" s="42" customFormat="1" x14ac:dyDescent="0.15">
      <c r="A199" s="134" t="str">
        <f t="shared" si="8"/>
        <v>CP09 Straight Stream Only</v>
      </c>
      <c r="B199" s="12" t="s">
        <v>94</v>
      </c>
      <c r="C199" s="12">
        <v>6.2E-2</v>
      </c>
      <c r="D199" s="12">
        <v>7.8E-2</v>
      </c>
      <c r="E199" s="12">
        <v>0.125</v>
      </c>
      <c r="F199" s="12">
        <v>0.17199999999999999</v>
      </c>
      <c r="G199" s="51"/>
      <c r="H199" s="51"/>
      <c r="I199" s="51"/>
      <c r="J199" s="51"/>
      <c r="K199" s="51"/>
      <c r="L199" s="51"/>
      <c r="M199" s="51"/>
      <c r="N199" s="51"/>
      <c r="O199" s="51"/>
      <c r="P199" s="56"/>
    </row>
    <row r="200" spans="1:16" s="42" customFormat="1" ht="14" thickBot="1" x14ac:dyDescent="0.2">
      <c r="A200" s="134" t="str">
        <f t="shared" si="8"/>
        <v>Davidon TriSet Straight Stream Only</v>
      </c>
      <c r="B200" s="185" t="s">
        <v>136</v>
      </c>
      <c r="C200" s="12">
        <v>6.0999999999999999E-2</v>
      </c>
      <c r="D200" s="12">
        <v>7.8E-2</v>
      </c>
      <c r="E200" s="12">
        <v>0.125</v>
      </c>
      <c r="F200" s="12"/>
      <c r="G200" s="12"/>
      <c r="H200" s="51"/>
      <c r="I200" s="51"/>
      <c r="J200" s="51"/>
      <c r="K200" s="51"/>
      <c r="L200" s="51"/>
      <c r="M200" s="51"/>
      <c r="N200" s="51"/>
      <c r="O200" s="51"/>
      <c r="P200" s="56"/>
    </row>
    <row r="201" spans="1:16" s="42" customFormat="1" x14ac:dyDescent="0.15">
      <c r="A201" s="134" t="str">
        <f t="shared" si="8"/>
        <v>CP11TT 110° Flat Fan</v>
      </c>
      <c r="B201" s="220" t="s">
        <v>165</v>
      </c>
      <c r="C201" s="66">
        <v>4</v>
      </c>
      <c r="D201" s="66">
        <v>6</v>
      </c>
      <c r="E201" s="66">
        <v>8</v>
      </c>
      <c r="F201" s="185"/>
      <c r="G201" s="185"/>
      <c r="H201" s="185"/>
      <c r="I201" s="51"/>
      <c r="J201" s="51"/>
      <c r="K201" s="51"/>
      <c r="L201" s="51"/>
      <c r="M201" s="51"/>
      <c r="N201" s="51"/>
      <c r="O201" s="51"/>
      <c r="P201" s="56"/>
    </row>
    <row r="202" spans="1:16" s="42" customFormat="1" x14ac:dyDescent="0.15">
      <c r="A202" s="134">
        <f t="shared" si="8"/>
        <v>0</v>
      </c>
      <c r="B202" s="185"/>
      <c r="C202" s="185"/>
      <c r="D202" s="185"/>
      <c r="E202" s="185"/>
      <c r="F202" s="185"/>
      <c r="G202" s="12"/>
      <c r="H202" s="51"/>
      <c r="I202" s="51"/>
      <c r="J202" s="51"/>
      <c r="K202" s="51"/>
      <c r="L202" s="51"/>
      <c r="M202" s="51"/>
      <c r="N202" s="51"/>
      <c r="O202" s="51"/>
      <c r="P202" s="56"/>
    </row>
    <row r="203" spans="1:16" s="42" customFormat="1" ht="14" x14ac:dyDescent="0.15">
      <c r="A203" s="55"/>
      <c r="B203" s="12"/>
      <c r="C203" s="12"/>
      <c r="D203" s="12"/>
      <c r="E203" s="12"/>
      <c r="F203" s="12"/>
      <c r="G203" s="12"/>
      <c r="H203" s="51"/>
      <c r="I203" s="51"/>
      <c r="J203" s="51"/>
      <c r="K203" s="51"/>
      <c r="L203" s="51"/>
      <c r="M203" s="51"/>
      <c r="N203" s="51"/>
      <c r="O203" s="51"/>
      <c r="P203" s="56"/>
    </row>
    <row r="204" spans="1:16" s="42" customFormat="1" ht="15" thickBot="1" x14ac:dyDescent="0.2">
      <c r="A204" s="57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9"/>
    </row>
    <row r="205" spans="1:16" s="42" customFormat="1" ht="14" thickBot="1" x14ac:dyDescent="0.2"/>
    <row r="206" spans="1:16" s="42" customFormat="1" ht="14" thickBot="1" x14ac:dyDescent="0.2">
      <c r="A206" s="60" t="s">
        <v>30</v>
      </c>
      <c r="B206" s="53"/>
      <c r="C206" s="53">
        <v>1</v>
      </c>
      <c r="D206" s="53">
        <v>2</v>
      </c>
      <c r="E206" s="53">
        <v>3</v>
      </c>
      <c r="F206" s="53">
        <v>4</v>
      </c>
      <c r="G206" s="53"/>
      <c r="H206" s="53"/>
      <c r="I206" s="53"/>
      <c r="J206" s="53"/>
      <c r="K206" s="53"/>
      <c r="L206" s="53"/>
      <c r="M206" s="53"/>
      <c r="N206" s="53"/>
      <c r="O206" s="53"/>
      <c r="P206" s="54"/>
    </row>
    <row r="207" spans="1:16" s="42" customFormat="1" x14ac:dyDescent="0.15">
      <c r="A207" s="134" t="str">
        <f>A2</f>
        <v>CP11TT 20° Flat Fan</v>
      </c>
      <c r="B207" s="12" t="s">
        <v>107</v>
      </c>
      <c r="C207" s="12">
        <v>0</v>
      </c>
      <c r="D207" s="12">
        <v>15</v>
      </c>
      <c r="E207" s="12">
        <v>30</v>
      </c>
      <c r="F207" s="12">
        <v>45</v>
      </c>
      <c r="G207" s="12"/>
      <c r="H207" s="12"/>
      <c r="I207" s="12"/>
      <c r="J207" s="51"/>
      <c r="K207" s="51"/>
      <c r="L207" s="51"/>
      <c r="M207" s="51"/>
      <c r="N207" s="51"/>
      <c r="O207" s="51"/>
      <c r="P207" s="184" t="s">
        <v>97</v>
      </c>
    </row>
    <row r="208" spans="1:16" s="42" customFormat="1" x14ac:dyDescent="0.15">
      <c r="A208" s="134" t="str">
        <f t="shared" ref="A208:A223" si="9">A3</f>
        <v>CP11TT 40° Flat Fan</v>
      </c>
      <c r="B208" s="12" t="s">
        <v>107</v>
      </c>
      <c r="C208" s="12">
        <v>0</v>
      </c>
      <c r="D208" s="12">
        <v>15</v>
      </c>
      <c r="E208" s="12">
        <v>30</v>
      </c>
      <c r="F208" s="12">
        <v>45</v>
      </c>
      <c r="G208" s="12"/>
      <c r="H208" s="12"/>
      <c r="I208" s="12"/>
      <c r="J208" s="51"/>
      <c r="K208" s="51"/>
      <c r="L208" s="51"/>
      <c r="M208" s="51"/>
      <c r="N208" s="51"/>
      <c r="O208" s="51"/>
      <c r="P208" s="184" t="s">
        <v>97</v>
      </c>
    </row>
    <row r="209" spans="1:16" s="42" customFormat="1" x14ac:dyDescent="0.15">
      <c r="A209" s="134" t="str">
        <f t="shared" si="9"/>
        <v>CP11TT 80° Flat Fan</v>
      </c>
      <c r="B209" s="12" t="s">
        <v>107</v>
      </c>
      <c r="C209" s="12">
        <v>0</v>
      </c>
      <c r="D209" s="12">
        <v>15</v>
      </c>
      <c r="E209" s="12">
        <v>30</v>
      </c>
      <c r="F209" s="12">
        <v>45</v>
      </c>
      <c r="G209" s="12"/>
      <c r="H209" s="12"/>
      <c r="I209" s="12"/>
      <c r="J209" s="51"/>
      <c r="K209" s="51"/>
      <c r="L209" s="51"/>
      <c r="M209" s="51"/>
      <c r="N209" s="51"/>
      <c r="O209" s="51"/>
      <c r="P209" s="184" t="s">
        <v>97</v>
      </c>
    </row>
    <row r="210" spans="1:16" s="42" customFormat="1" x14ac:dyDescent="0.15">
      <c r="A210" s="134" t="str">
        <f t="shared" si="9"/>
        <v>CP11TT Straight Stream</v>
      </c>
      <c r="B210" s="185" t="s">
        <v>107</v>
      </c>
      <c r="C210" s="185">
        <v>0</v>
      </c>
      <c r="D210" s="185">
        <v>15</v>
      </c>
      <c r="E210" s="12"/>
      <c r="F210" s="12"/>
      <c r="G210" s="51"/>
      <c r="H210" s="51"/>
      <c r="I210" s="51"/>
      <c r="J210" s="51"/>
      <c r="K210" s="51"/>
      <c r="L210" s="51"/>
      <c r="M210" s="51"/>
      <c r="N210" s="51"/>
      <c r="O210" s="51"/>
      <c r="P210" s="184" t="s">
        <v>125</v>
      </c>
    </row>
    <row r="211" spans="1:16" s="42" customFormat="1" x14ac:dyDescent="0.15">
      <c r="A211" s="134" t="str">
        <f t="shared" si="9"/>
        <v>Standard 40° Flat Fan</v>
      </c>
      <c r="B211" s="12" t="s">
        <v>107</v>
      </c>
      <c r="C211" s="12">
        <v>0</v>
      </c>
      <c r="D211" s="12">
        <v>15</v>
      </c>
      <c r="E211" s="12">
        <v>30</v>
      </c>
      <c r="F211" s="12">
        <v>45</v>
      </c>
      <c r="G211" s="12"/>
      <c r="H211" s="12"/>
      <c r="I211" s="12"/>
      <c r="J211" s="51"/>
      <c r="K211" s="51"/>
      <c r="L211" s="51"/>
      <c r="M211" s="51"/>
      <c r="N211" s="51"/>
      <c r="O211" s="51"/>
      <c r="P211" s="184" t="s">
        <v>97</v>
      </c>
    </row>
    <row r="212" spans="1:16" s="42" customFormat="1" x14ac:dyDescent="0.15">
      <c r="A212" s="134" t="str">
        <f t="shared" si="9"/>
        <v>Standard 80° Flat Fan</v>
      </c>
      <c r="B212" s="12" t="s">
        <v>107</v>
      </c>
      <c r="C212" s="12">
        <v>0</v>
      </c>
      <c r="D212" s="12">
        <v>15</v>
      </c>
      <c r="E212" s="12">
        <v>30</v>
      </c>
      <c r="F212" s="12">
        <v>45</v>
      </c>
      <c r="G212" s="12"/>
      <c r="H212" s="12"/>
      <c r="I212" s="12"/>
      <c r="J212" s="51"/>
      <c r="K212" s="51"/>
      <c r="L212" s="51"/>
      <c r="M212" s="51"/>
      <c r="N212" s="51"/>
      <c r="O212" s="51"/>
      <c r="P212" s="184" t="s">
        <v>97</v>
      </c>
    </row>
    <row r="213" spans="1:16" s="42" customFormat="1" x14ac:dyDescent="0.15">
      <c r="A213" s="134" t="str">
        <f t="shared" si="9"/>
        <v>Steel Disc Core Straight Stream</v>
      </c>
      <c r="B213" s="185" t="s">
        <v>107</v>
      </c>
      <c r="C213" s="185">
        <v>0</v>
      </c>
      <c r="D213" s="185">
        <v>15</v>
      </c>
      <c r="E213" s="12"/>
      <c r="F213" s="12"/>
      <c r="G213" s="12"/>
      <c r="H213" s="12"/>
      <c r="I213" s="12"/>
      <c r="J213" s="51"/>
      <c r="K213" s="51"/>
      <c r="L213" s="51"/>
      <c r="M213" s="51"/>
      <c r="N213" s="51"/>
      <c r="O213" s="51"/>
      <c r="P213" s="184" t="s">
        <v>125</v>
      </c>
    </row>
    <row r="214" spans="1:16" s="42" customFormat="1" x14ac:dyDescent="0.15">
      <c r="A214" s="134" t="str">
        <f t="shared" si="9"/>
        <v>Ceramic Disc Core Straight Stream</v>
      </c>
      <c r="B214" s="185" t="s">
        <v>107</v>
      </c>
      <c r="C214" s="185">
        <v>0</v>
      </c>
      <c r="D214" s="185">
        <v>15</v>
      </c>
      <c r="E214" s="12"/>
      <c r="F214" s="12"/>
      <c r="G214" s="12"/>
      <c r="H214" s="12"/>
      <c r="I214" s="12"/>
      <c r="J214" s="51"/>
      <c r="K214" s="51"/>
      <c r="L214" s="51"/>
      <c r="M214" s="51"/>
      <c r="N214" s="51"/>
      <c r="O214" s="51"/>
      <c r="P214" s="184" t="s">
        <v>125</v>
      </c>
    </row>
    <row r="215" spans="1:16" s="42" customFormat="1" x14ac:dyDescent="0.15">
      <c r="A215" s="134" t="str">
        <f t="shared" si="9"/>
        <v>CP09 Deflection Angles Only</v>
      </c>
      <c r="B215" s="12" t="s">
        <v>85</v>
      </c>
      <c r="C215" s="12">
        <v>5</v>
      </c>
      <c r="D215" s="12">
        <v>30</v>
      </c>
      <c r="E215" s="12"/>
      <c r="F215" s="12"/>
      <c r="G215" s="12"/>
      <c r="H215" s="12"/>
      <c r="I215" s="12"/>
      <c r="J215" s="51"/>
      <c r="K215" s="51"/>
      <c r="L215" s="51"/>
      <c r="M215" s="51"/>
      <c r="N215" s="51"/>
      <c r="O215" s="51"/>
      <c r="P215" s="184" t="s">
        <v>129</v>
      </c>
    </row>
    <row r="216" spans="1:16" s="42" customFormat="1" x14ac:dyDescent="0.15">
      <c r="A216" s="134" t="str">
        <f t="shared" si="9"/>
        <v>Davidon TriSet Deflection Angles Only</v>
      </c>
      <c r="B216" s="185" t="s">
        <v>85</v>
      </c>
      <c r="C216" s="12">
        <v>22.5</v>
      </c>
      <c r="D216" s="12">
        <v>45</v>
      </c>
      <c r="E216" s="12"/>
      <c r="F216" s="12"/>
      <c r="G216" s="12"/>
      <c r="H216" s="51"/>
      <c r="I216" s="51"/>
      <c r="J216" s="51"/>
      <c r="K216" s="51"/>
      <c r="L216" s="51"/>
      <c r="M216" s="51"/>
      <c r="N216" s="51"/>
      <c r="O216" s="51"/>
      <c r="P216" s="184" t="s">
        <v>130</v>
      </c>
    </row>
    <row r="217" spans="1:16" s="42" customFormat="1" x14ac:dyDescent="0.15">
      <c r="A217" s="134" t="str">
        <f t="shared" si="9"/>
        <v>CP03</v>
      </c>
      <c r="B217" s="12" t="s">
        <v>85</v>
      </c>
      <c r="C217" s="12">
        <v>30</v>
      </c>
      <c r="D217" s="12">
        <v>55</v>
      </c>
      <c r="E217" s="12">
        <v>90</v>
      </c>
      <c r="F217" s="12"/>
      <c r="G217" s="12"/>
      <c r="H217" s="51"/>
      <c r="I217" s="51"/>
      <c r="J217" s="51"/>
      <c r="K217" s="51"/>
      <c r="L217" s="51"/>
      <c r="M217" s="51"/>
      <c r="N217" s="51"/>
      <c r="O217" s="51"/>
      <c r="P217" s="184" t="s">
        <v>0</v>
      </c>
    </row>
    <row r="218" spans="1:16" s="42" customFormat="1" x14ac:dyDescent="0.15">
      <c r="A218" s="134" t="str">
        <f t="shared" si="9"/>
        <v>Steel Disc Core 45</v>
      </c>
      <c r="B218" s="12" t="s">
        <v>33</v>
      </c>
      <c r="C218" s="12">
        <v>0</v>
      </c>
      <c r="D218" s="12">
        <v>15</v>
      </c>
      <c r="E218" s="12">
        <v>30</v>
      </c>
      <c r="F218" s="12">
        <v>45</v>
      </c>
      <c r="G218" s="12"/>
      <c r="H218" s="51"/>
      <c r="I218" s="51"/>
      <c r="J218" s="51"/>
      <c r="K218" s="51"/>
      <c r="L218" s="51"/>
      <c r="M218" s="51"/>
      <c r="N218" s="51"/>
      <c r="O218" s="51"/>
      <c r="P218" s="184" t="s">
        <v>97</v>
      </c>
    </row>
    <row r="219" spans="1:16" s="42" customFormat="1" x14ac:dyDescent="0.15">
      <c r="A219" s="134" t="str">
        <f t="shared" si="9"/>
        <v>Ceramic Disc Core 45</v>
      </c>
      <c r="B219" s="12" t="s">
        <v>33</v>
      </c>
      <c r="C219" s="12">
        <v>0</v>
      </c>
      <c r="D219" s="12">
        <v>15</v>
      </c>
      <c r="E219" s="12">
        <v>30</v>
      </c>
      <c r="F219" s="12">
        <v>45</v>
      </c>
      <c r="G219" s="12"/>
      <c r="H219" s="51"/>
      <c r="I219" s="51"/>
      <c r="J219" s="51"/>
      <c r="K219" s="51"/>
      <c r="L219" s="51"/>
      <c r="M219" s="51"/>
      <c r="N219" s="51"/>
      <c r="O219" s="51"/>
      <c r="P219" s="184" t="s">
        <v>97</v>
      </c>
    </row>
    <row r="220" spans="1:16" s="42" customFormat="1" x14ac:dyDescent="0.15">
      <c r="A220" s="134" t="str">
        <f t="shared" si="9"/>
        <v>CP09 Straight Stream Only</v>
      </c>
      <c r="B220" s="185" t="s">
        <v>85</v>
      </c>
      <c r="C220" s="185">
        <v>0</v>
      </c>
      <c r="D220" s="12"/>
      <c r="E220" s="12"/>
      <c r="F220" s="12"/>
      <c r="G220" s="12"/>
      <c r="H220" s="51"/>
      <c r="I220" s="51"/>
      <c r="J220" s="51"/>
      <c r="K220" s="51"/>
      <c r="L220" s="51"/>
      <c r="M220" s="51"/>
      <c r="N220" s="51"/>
      <c r="O220" s="51"/>
      <c r="P220" s="184" t="s">
        <v>133</v>
      </c>
    </row>
    <row r="221" spans="1:16" s="42" customFormat="1" x14ac:dyDescent="0.15">
      <c r="A221" s="134" t="str">
        <f t="shared" si="9"/>
        <v>Davidon TriSet Straight Stream Only</v>
      </c>
      <c r="B221" s="185" t="s">
        <v>85</v>
      </c>
      <c r="C221" s="185">
        <v>0</v>
      </c>
      <c r="D221" s="12"/>
      <c r="E221" s="12"/>
      <c r="F221" s="12"/>
      <c r="G221" s="12"/>
      <c r="H221" s="51"/>
      <c r="I221" s="51"/>
      <c r="J221" s="51"/>
      <c r="K221" s="51"/>
      <c r="L221" s="51"/>
      <c r="M221" s="51"/>
      <c r="N221" s="51"/>
      <c r="O221" s="51"/>
      <c r="P221" s="184" t="s">
        <v>133</v>
      </c>
    </row>
    <row r="222" spans="1:16" s="42" customFormat="1" x14ac:dyDescent="0.15">
      <c r="A222" s="134" t="str">
        <f t="shared" si="9"/>
        <v>CP11TT 110° Flat Fan</v>
      </c>
      <c r="B222" s="12" t="s">
        <v>107</v>
      </c>
      <c r="C222" s="12">
        <v>0</v>
      </c>
      <c r="D222" s="12">
        <v>15</v>
      </c>
      <c r="E222" s="12">
        <v>30</v>
      </c>
      <c r="F222" s="12">
        <v>45</v>
      </c>
      <c r="G222" s="185"/>
      <c r="H222" s="51"/>
      <c r="I222" s="51"/>
      <c r="J222" s="51"/>
      <c r="K222" s="51"/>
      <c r="L222" s="51"/>
      <c r="M222" s="51"/>
      <c r="N222" s="51"/>
      <c r="O222" s="51"/>
      <c r="P222" s="184" t="s">
        <v>135</v>
      </c>
    </row>
    <row r="223" spans="1:16" s="42" customFormat="1" x14ac:dyDescent="0.15">
      <c r="A223" s="134">
        <f t="shared" si="9"/>
        <v>0</v>
      </c>
      <c r="B223" s="185"/>
      <c r="C223" s="185"/>
      <c r="D223" s="185"/>
      <c r="E223" s="185"/>
      <c r="F223" s="185"/>
      <c r="G223" s="12"/>
      <c r="H223" s="12"/>
      <c r="I223" s="12"/>
      <c r="J223" s="51"/>
      <c r="K223" s="51"/>
      <c r="L223" s="51"/>
      <c r="M223" s="51"/>
      <c r="N223" s="51"/>
      <c r="O223" s="51"/>
      <c r="P223" s="184" t="s">
        <v>135</v>
      </c>
    </row>
    <row r="224" spans="1:16" s="42" customFormat="1" ht="14" x14ac:dyDescent="0.15">
      <c r="A224" s="55"/>
      <c r="B224" s="12"/>
      <c r="C224" s="12"/>
      <c r="D224" s="12"/>
      <c r="E224" s="12"/>
      <c r="F224" s="12"/>
      <c r="G224" s="12"/>
      <c r="H224" s="51"/>
      <c r="I224" s="51"/>
      <c r="J224" s="51"/>
      <c r="K224" s="51"/>
      <c r="L224" s="51"/>
      <c r="M224" s="51"/>
      <c r="N224" s="51"/>
      <c r="O224" s="51"/>
      <c r="P224" s="56"/>
    </row>
    <row r="225" spans="1:16" s="42" customFormat="1" ht="15" thickBot="1" x14ac:dyDescent="0.2">
      <c r="A225" s="57"/>
      <c r="B225" s="65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9"/>
    </row>
    <row r="226" spans="1:16" s="42" customFormat="1" ht="14" thickBot="1" x14ac:dyDescent="0.2"/>
    <row r="227" spans="1:16" ht="14" thickBot="1" x14ac:dyDescent="0.2">
      <c r="A227" s="60" t="s">
        <v>31</v>
      </c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4"/>
    </row>
    <row r="228" spans="1:16" x14ac:dyDescent="0.15">
      <c r="A228" s="134" t="str">
        <f>A2</f>
        <v>CP11TT 20° Flat Fan</v>
      </c>
      <c r="B228" s="66">
        <v>50</v>
      </c>
      <c r="C228" s="66">
        <v>55</v>
      </c>
      <c r="D228" s="66">
        <v>60</v>
      </c>
      <c r="E228" s="66">
        <v>65</v>
      </c>
      <c r="F228" s="66">
        <v>70</v>
      </c>
      <c r="G228" s="66">
        <v>75</v>
      </c>
      <c r="H228" s="66">
        <v>80</v>
      </c>
      <c r="I228" s="66">
        <v>85</v>
      </c>
      <c r="J228" s="66">
        <v>90</v>
      </c>
      <c r="K228" s="66">
        <v>95</v>
      </c>
      <c r="L228" s="66">
        <v>100</v>
      </c>
      <c r="M228" s="66">
        <v>105</v>
      </c>
      <c r="N228" s="66">
        <v>110</v>
      </c>
      <c r="O228" s="67">
        <v>115</v>
      </c>
      <c r="P228" s="68">
        <v>120</v>
      </c>
    </row>
    <row r="229" spans="1:16" x14ac:dyDescent="0.15">
      <c r="A229" s="134" t="str">
        <f t="shared" ref="A229:A244" si="10">A3</f>
        <v>CP11TT 40° Flat Fan</v>
      </c>
      <c r="B229" s="12">
        <v>50</v>
      </c>
      <c r="C229" s="12">
        <v>55</v>
      </c>
      <c r="D229" s="12">
        <v>60</v>
      </c>
      <c r="E229" s="12">
        <v>65</v>
      </c>
      <c r="F229" s="12">
        <v>70</v>
      </c>
      <c r="G229" s="12">
        <v>75</v>
      </c>
      <c r="H229" s="12">
        <v>80</v>
      </c>
      <c r="I229" s="12">
        <v>85</v>
      </c>
      <c r="J229" s="12">
        <v>90</v>
      </c>
      <c r="K229" s="12">
        <v>95</v>
      </c>
      <c r="L229" s="12">
        <v>100</v>
      </c>
      <c r="M229" s="12">
        <v>105</v>
      </c>
      <c r="N229" s="12">
        <v>110</v>
      </c>
      <c r="O229" s="12">
        <v>115</v>
      </c>
      <c r="P229" s="12">
        <v>120</v>
      </c>
    </row>
    <row r="230" spans="1:16" x14ac:dyDescent="0.15">
      <c r="A230" s="134" t="str">
        <f t="shared" si="10"/>
        <v>CP11TT 80° Flat Fan</v>
      </c>
      <c r="B230" s="12">
        <v>50</v>
      </c>
      <c r="C230" s="12">
        <v>55</v>
      </c>
      <c r="D230" s="12">
        <v>60</v>
      </c>
      <c r="E230" s="12">
        <v>65</v>
      </c>
      <c r="F230" s="12">
        <v>70</v>
      </c>
      <c r="G230" s="12">
        <v>75</v>
      </c>
      <c r="H230" s="12">
        <v>80</v>
      </c>
      <c r="I230" s="12">
        <v>85</v>
      </c>
      <c r="J230" s="12">
        <v>90</v>
      </c>
      <c r="K230" s="12">
        <v>95</v>
      </c>
      <c r="L230" s="12">
        <v>100</v>
      </c>
      <c r="M230" s="12">
        <v>105</v>
      </c>
      <c r="N230" s="12">
        <v>110</v>
      </c>
      <c r="O230" s="12">
        <v>115</v>
      </c>
      <c r="P230" s="12">
        <v>120</v>
      </c>
    </row>
    <row r="231" spans="1:16" x14ac:dyDescent="0.15">
      <c r="A231" s="134" t="str">
        <f t="shared" si="10"/>
        <v>CP11TT Straight Stream</v>
      </c>
      <c r="B231" s="185">
        <v>70</v>
      </c>
      <c r="C231" s="185">
        <v>75</v>
      </c>
      <c r="D231" s="185">
        <v>80</v>
      </c>
      <c r="E231" s="185">
        <v>85</v>
      </c>
      <c r="F231" s="185">
        <v>90</v>
      </c>
      <c r="G231" s="185">
        <v>95</v>
      </c>
      <c r="H231" s="185">
        <v>100</v>
      </c>
      <c r="I231" s="185">
        <v>105</v>
      </c>
      <c r="J231" s="185">
        <v>110</v>
      </c>
      <c r="K231" s="185">
        <v>115</v>
      </c>
      <c r="L231" s="185">
        <v>120</v>
      </c>
      <c r="M231" s="12"/>
      <c r="N231" s="12"/>
      <c r="O231" s="12"/>
      <c r="P231" s="12"/>
    </row>
    <row r="232" spans="1:16" x14ac:dyDescent="0.15">
      <c r="A232" s="134" t="str">
        <f t="shared" si="10"/>
        <v>Standard 40° Flat Fan</v>
      </c>
      <c r="B232" s="12">
        <v>50</v>
      </c>
      <c r="C232" s="12">
        <v>55</v>
      </c>
      <c r="D232" s="12">
        <v>60</v>
      </c>
      <c r="E232" s="12">
        <v>65</v>
      </c>
      <c r="F232" s="12">
        <v>70</v>
      </c>
      <c r="G232" s="12">
        <v>75</v>
      </c>
      <c r="H232" s="12">
        <v>80</v>
      </c>
      <c r="I232" s="12">
        <v>85</v>
      </c>
      <c r="J232" s="12">
        <v>90</v>
      </c>
      <c r="K232" s="12">
        <v>95</v>
      </c>
      <c r="L232" s="12">
        <v>100</v>
      </c>
      <c r="M232" s="12">
        <v>105</v>
      </c>
      <c r="N232" s="12">
        <v>110</v>
      </c>
      <c r="O232" s="12">
        <v>115</v>
      </c>
      <c r="P232" s="12">
        <v>120</v>
      </c>
    </row>
    <row r="233" spans="1:16" x14ac:dyDescent="0.15">
      <c r="A233" s="134" t="str">
        <f t="shared" si="10"/>
        <v>Standard 80° Flat Fan</v>
      </c>
      <c r="B233" s="12">
        <v>50</v>
      </c>
      <c r="C233" s="12">
        <v>55</v>
      </c>
      <c r="D233" s="12">
        <v>60</v>
      </c>
      <c r="E233" s="12">
        <v>65</v>
      </c>
      <c r="F233" s="12">
        <v>70</v>
      </c>
      <c r="G233" s="12">
        <v>75</v>
      </c>
      <c r="H233" s="12">
        <v>80</v>
      </c>
      <c r="I233" s="12">
        <v>85</v>
      </c>
      <c r="J233" s="12">
        <v>90</v>
      </c>
      <c r="K233" s="12">
        <v>95</v>
      </c>
      <c r="L233" s="12">
        <v>100</v>
      </c>
      <c r="M233" s="12">
        <v>105</v>
      </c>
      <c r="N233" s="12">
        <v>110</v>
      </c>
      <c r="O233" s="12">
        <v>115</v>
      </c>
      <c r="P233" s="12">
        <v>120</v>
      </c>
    </row>
    <row r="234" spans="1:16" x14ac:dyDescent="0.15">
      <c r="A234" s="134" t="str">
        <f t="shared" si="10"/>
        <v>Steel Disc Core Straight Stream</v>
      </c>
      <c r="B234" s="185">
        <v>70</v>
      </c>
      <c r="C234" s="185">
        <v>75</v>
      </c>
      <c r="D234" s="185">
        <v>80</v>
      </c>
      <c r="E234" s="185">
        <v>85</v>
      </c>
      <c r="F234" s="185">
        <v>90</v>
      </c>
      <c r="G234" s="185">
        <v>95</v>
      </c>
      <c r="H234" s="185">
        <v>100</v>
      </c>
      <c r="I234" s="185">
        <v>105</v>
      </c>
      <c r="J234" s="185">
        <v>110</v>
      </c>
      <c r="K234" s="185">
        <v>115</v>
      </c>
      <c r="L234" s="185">
        <v>120</v>
      </c>
      <c r="M234" s="12"/>
      <c r="N234" s="12"/>
      <c r="O234" s="12"/>
      <c r="P234" s="12"/>
    </row>
    <row r="235" spans="1:16" x14ac:dyDescent="0.15">
      <c r="A235" s="134" t="str">
        <f t="shared" si="10"/>
        <v>Ceramic Disc Core Straight Stream</v>
      </c>
      <c r="B235" s="185">
        <v>70</v>
      </c>
      <c r="C235" s="185">
        <v>75</v>
      </c>
      <c r="D235" s="185">
        <v>80</v>
      </c>
      <c r="E235" s="185">
        <v>85</v>
      </c>
      <c r="F235" s="185">
        <v>90</v>
      </c>
      <c r="G235" s="185">
        <v>95</v>
      </c>
      <c r="H235" s="185">
        <v>100</v>
      </c>
      <c r="I235" s="185">
        <v>105</v>
      </c>
      <c r="J235" s="185">
        <v>110</v>
      </c>
      <c r="K235" s="185">
        <v>115</v>
      </c>
      <c r="L235" s="185">
        <v>120</v>
      </c>
      <c r="M235" s="12"/>
      <c r="N235" s="12"/>
      <c r="O235" s="12"/>
      <c r="P235" s="12"/>
    </row>
    <row r="236" spans="1:16" x14ac:dyDescent="0.15">
      <c r="A236" s="134" t="str">
        <f t="shared" si="10"/>
        <v>CP09 Deflection Angles Only</v>
      </c>
      <c r="B236" s="12">
        <v>50</v>
      </c>
      <c r="C236" s="12">
        <v>55</v>
      </c>
      <c r="D236" s="12">
        <v>60</v>
      </c>
      <c r="E236" s="12">
        <v>65</v>
      </c>
      <c r="F236" s="12">
        <v>70</v>
      </c>
      <c r="G236" s="12">
        <v>75</v>
      </c>
      <c r="H236" s="12">
        <v>80</v>
      </c>
      <c r="I236" s="12">
        <v>85</v>
      </c>
      <c r="J236" s="12">
        <v>90</v>
      </c>
      <c r="K236" s="12">
        <v>95</v>
      </c>
      <c r="L236" s="12">
        <v>100</v>
      </c>
      <c r="M236" s="12">
        <v>105</v>
      </c>
      <c r="N236" s="12">
        <v>110</v>
      </c>
      <c r="O236" s="12">
        <v>115</v>
      </c>
      <c r="P236" s="12">
        <v>120</v>
      </c>
    </row>
    <row r="237" spans="1:16" x14ac:dyDescent="0.15">
      <c r="A237" s="134" t="str">
        <f t="shared" si="10"/>
        <v>Davidon TriSet Deflection Angles Only</v>
      </c>
      <c r="B237" s="12">
        <v>50</v>
      </c>
      <c r="C237" s="12">
        <v>55</v>
      </c>
      <c r="D237" s="12">
        <v>60</v>
      </c>
      <c r="E237" s="12">
        <v>65</v>
      </c>
      <c r="F237" s="12">
        <v>70</v>
      </c>
      <c r="G237" s="12">
        <v>75</v>
      </c>
      <c r="H237" s="12">
        <v>80</v>
      </c>
      <c r="I237" s="12">
        <v>85</v>
      </c>
      <c r="J237" s="12">
        <v>90</v>
      </c>
      <c r="K237" s="12">
        <v>95</v>
      </c>
      <c r="L237" s="12">
        <v>100</v>
      </c>
      <c r="M237" s="12">
        <v>105</v>
      </c>
      <c r="N237" s="12">
        <v>110</v>
      </c>
      <c r="O237" s="12">
        <v>115</v>
      </c>
      <c r="P237" s="12">
        <v>120</v>
      </c>
    </row>
    <row r="238" spans="1:16" x14ac:dyDescent="0.15">
      <c r="A238" s="134" t="str">
        <f t="shared" si="10"/>
        <v>CP03</v>
      </c>
      <c r="B238" s="12">
        <v>50</v>
      </c>
      <c r="C238" s="12">
        <v>55</v>
      </c>
      <c r="D238" s="12">
        <v>60</v>
      </c>
      <c r="E238" s="12">
        <v>65</v>
      </c>
      <c r="F238" s="12">
        <v>70</v>
      </c>
      <c r="G238" s="12">
        <v>75</v>
      </c>
      <c r="H238" s="12">
        <v>80</v>
      </c>
      <c r="I238" s="12">
        <v>85</v>
      </c>
      <c r="J238" s="12">
        <v>90</v>
      </c>
      <c r="K238" s="12">
        <v>95</v>
      </c>
      <c r="L238" s="12">
        <v>100</v>
      </c>
      <c r="M238" s="12">
        <v>105</v>
      </c>
      <c r="N238" s="12">
        <v>110</v>
      </c>
      <c r="O238" s="12">
        <v>115</v>
      </c>
      <c r="P238" s="12">
        <v>120</v>
      </c>
    </row>
    <row r="239" spans="1:16" x14ac:dyDescent="0.15">
      <c r="A239" s="134" t="str">
        <f t="shared" si="10"/>
        <v>Steel Disc Core 45</v>
      </c>
      <c r="B239" s="12">
        <v>50</v>
      </c>
      <c r="C239" s="12">
        <v>55</v>
      </c>
      <c r="D239" s="12">
        <v>60</v>
      </c>
      <c r="E239" s="12">
        <v>65</v>
      </c>
      <c r="F239" s="12">
        <v>70</v>
      </c>
      <c r="G239" s="12">
        <v>75</v>
      </c>
      <c r="H239" s="12">
        <v>80</v>
      </c>
      <c r="I239" s="12">
        <v>85</v>
      </c>
      <c r="J239" s="12">
        <v>90</v>
      </c>
      <c r="K239" s="12">
        <v>95</v>
      </c>
      <c r="L239" s="12">
        <v>100</v>
      </c>
      <c r="M239" s="12">
        <v>105</v>
      </c>
      <c r="N239" s="12">
        <v>110</v>
      </c>
      <c r="O239" s="12">
        <v>115</v>
      </c>
      <c r="P239" s="12">
        <v>120</v>
      </c>
    </row>
    <row r="240" spans="1:16" x14ac:dyDescent="0.15">
      <c r="A240" s="134" t="str">
        <f t="shared" si="10"/>
        <v>Ceramic Disc Core 45</v>
      </c>
      <c r="B240" s="12">
        <v>50</v>
      </c>
      <c r="C240" s="12">
        <v>55</v>
      </c>
      <c r="D240" s="12">
        <v>60</v>
      </c>
      <c r="E240" s="12">
        <v>65</v>
      </c>
      <c r="F240" s="12">
        <v>70</v>
      </c>
      <c r="G240" s="12">
        <v>75</v>
      </c>
      <c r="H240" s="12">
        <v>80</v>
      </c>
      <c r="I240" s="12">
        <v>85</v>
      </c>
      <c r="J240" s="12">
        <v>90</v>
      </c>
      <c r="K240" s="12">
        <v>95</v>
      </c>
      <c r="L240" s="12">
        <v>100</v>
      </c>
      <c r="M240" s="12">
        <v>105</v>
      </c>
      <c r="N240" s="12">
        <v>110</v>
      </c>
      <c r="O240" s="12">
        <v>115</v>
      </c>
      <c r="P240" s="12">
        <v>120</v>
      </c>
    </row>
    <row r="241" spans="1:16" x14ac:dyDescent="0.15">
      <c r="A241" s="134" t="str">
        <f t="shared" si="10"/>
        <v>CP09 Straight Stream Only</v>
      </c>
      <c r="B241" s="185">
        <v>70</v>
      </c>
      <c r="C241" s="185">
        <v>75</v>
      </c>
      <c r="D241" s="185">
        <v>80</v>
      </c>
      <c r="E241" s="185">
        <v>85</v>
      </c>
      <c r="F241" s="185">
        <v>90</v>
      </c>
      <c r="G241" s="185">
        <v>95</v>
      </c>
      <c r="H241" s="185">
        <v>100</v>
      </c>
      <c r="I241" s="185">
        <v>105</v>
      </c>
      <c r="J241" s="185">
        <v>110</v>
      </c>
      <c r="K241" s="185">
        <v>115</v>
      </c>
      <c r="L241" s="185">
        <v>120</v>
      </c>
      <c r="M241" s="12"/>
      <c r="N241" s="12"/>
      <c r="O241" s="12"/>
      <c r="P241" s="12"/>
    </row>
    <row r="242" spans="1:16" ht="14" thickBot="1" x14ac:dyDescent="0.2">
      <c r="A242" s="134" t="str">
        <f t="shared" si="10"/>
        <v>Davidon TriSet Straight Stream Only</v>
      </c>
      <c r="B242" s="185">
        <v>70</v>
      </c>
      <c r="C242" s="185">
        <v>75</v>
      </c>
      <c r="D242" s="185">
        <v>80</v>
      </c>
      <c r="E242" s="185">
        <v>85</v>
      </c>
      <c r="F242" s="185">
        <v>90</v>
      </c>
      <c r="G242" s="185">
        <v>95</v>
      </c>
      <c r="H242" s="185">
        <v>100</v>
      </c>
      <c r="I242" s="185">
        <v>105</v>
      </c>
      <c r="J242" s="185">
        <v>110</v>
      </c>
      <c r="K242" s="185">
        <v>115</v>
      </c>
      <c r="L242" s="185">
        <v>120</v>
      </c>
      <c r="M242" s="12"/>
      <c r="N242" s="12"/>
      <c r="O242" s="12"/>
      <c r="P242" s="56"/>
    </row>
    <row r="243" spans="1:16" x14ac:dyDescent="0.15">
      <c r="A243" s="134" t="str">
        <f t="shared" si="10"/>
        <v>CP11TT 110° Flat Fan</v>
      </c>
      <c r="B243" s="66">
        <v>50</v>
      </c>
      <c r="C243" s="66">
        <v>55</v>
      </c>
      <c r="D243" s="66">
        <v>60</v>
      </c>
      <c r="E243" s="66">
        <v>65</v>
      </c>
      <c r="F243" s="66">
        <v>70</v>
      </c>
      <c r="G243" s="66">
        <v>75</v>
      </c>
      <c r="H243" s="66">
        <v>80</v>
      </c>
      <c r="I243" s="66">
        <v>85</v>
      </c>
      <c r="J243" s="66">
        <v>90</v>
      </c>
      <c r="K243" s="66">
        <v>95</v>
      </c>
      <c r="L243" s="66">
        <v>100</v>
      </c>
      <c r="M243" s="66">
        <v>105</v>
      </c>
      <c r="N243" s="66">
        <v>110</v>
      </c>
      <c r="O243" s="67">
        <v>115</v>
      </c>
      <c r="P243" s="68">
        <v>120</v>
      </c>
    </row>
    <row r="244" spans="1:16" x14ac:dyDescent="0.15">
      <c r="A244" s="134">
        <f t="shared" si="10"/>
        <v>0</v>
      </c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2"/>
      <c r="N244" s="12"/>
      <c r="O244" s="12"/>
      <c r="P244" s="56"/>
    </row>
    <row r="245" spans="1:16" ht="14" x14ac:dyDescent="0.15">
      <c r="A245" s="55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56"/>
    </row>
    <row r="246" spans="1:16" ht="15" thickBot="1" x14ac:dyDescent="0.2">
      <c r="A246" s="57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59"/>
    </row>
    <row r="248" spans="1:16" ht="14" thickBot="1" x14ac:dyDescent="0.2"/>
    <row r="249" spans="1:16" ht="14" thickBot="1" x14ac:dyDescent="0.2">
      <c r="A249" s="60" t="s">
        <v>37</v>
      </c>
      <c r="B249" s="187"/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  <c r="P249" s="188"/>
    </row>
    <row r="250" spans="1:16" x14ac:dyDescent="0.15">
      <c r="A250" s="189" t="str">
        <f t="shared" ref="A250:A266" si="11">A2</f>
        <v>CP11TT 20° Flat Fan</v>
      </c>
      <c r="B250" s="15">
        <v>30</v>
      </c>
      <c r="C250" s="15">
        <v>35</v>
      </c>
      <c r="D250" s="15">
        <v>40</v>
      </c>
      <c r="E250" s="133">
        <v>45</v>
      </c>
      <c r="F250" s="133">
        <v>50</v>
      </c>
      <c r="G250" s="133">
        <v>55</v>
      </c>
      <c r="H250" s="133">
        <v>60</v>
      </c>
      <c r="I250" s="15"/>
      <c r="J250" s="15"/>
      <c r="K250" s="15"/>
      <c r="L250" s="15"/>
      <c r="M250" s="15"/>
      <c r="N250" s="15"/>
      <c r="O250" s="15"/>
      <c r="P250" s="16" t="s">
        <v>123</v>
      </c>
    </row>
    <row r="251" spans="1:16" x14ac:dyDescent="0.15">
      <c r="A251" s="189" t="str">
        <f t="shared" si="11"/>
        <v>CP11TT 40° Flat Fan</v>
      </c>
      <c r="B251" s="15">
        <v>30</v>
      </c>
      <c r="C251" s="15">
        <v>35</v>
      </c>
      <c r="D251" s="15">
        <v>40</v>
      </c>
      <c r="E251" s="133">
        <v>45</v>
      </c>
      <c r="F251" s="133">
        <v>50</v>
      </c>
      <c r="G251" s="133">
        <v>55</v>
      </c>
      <c r="H251" s="133">
        <v>60</v>
      </c>
      <c r="I251" s="15"/>
      <c r="J251" s="15"/>
      <c r="K251" s="15"/>
      <c r="L251" s="15"/>
      <c r="M251" s="15"/>
      <c r="N251" s="15"/>
      <c r="O251" s="15"/>
      <c r="P251" s="16" t="s">
        <v>123</v>
      </c>
    </row>
    <row r="252" spans="1:16" x14ac:dyDescent="0.15">
      <c r="A252" s="189" t="str">
        <f t="shared" si="11"/>
        <v>CP11TT 80° Flat Fan</v>
      </c>
      <c r="B252" s="15">
        <v>30</v>
      </c>
      <c r="C252" s="15">
        <v>35</v>
      </c>
      <c r="D252" s="15">
        <v>40</v>
      </c>
      <c r="E252" s="133">
        <v>45</v>
      </c>
      <c r="F252" s="133">
        <v>50</v>
      </c>
      <c r="G252" s="133">
        <v>55</v>
      </c>
      <c r="H252" s="133">
        <v>60</v>
      </c>
      <c r="I252" s="15"/>
      <c r="J252" s="15"/>
      <c r="K252" s="15"/>
      <c r="L252" s="15"/>
      <c r="M252" s="15"/>
      <c r="N252" s="15"/>
      <c r="O252" s="15"/>
      <c r="P252" s="16" t="s">
        <v>123</v>
      </c>
    </row>
    <row r="253" spans="1:16" x14ac:dyDescent="0.15">
      <c r="A253" s="189" t="str">
        <f t="shared" si="11"/>
        <v>CP11TT Straight Stream</v>
      </c>
      <c r="B253" s="15">
        <v>30</v>
      </c>
      <c r="C253" s="15">
        <v>35</v>
      </c>
      <c r="D253" s="15">
        <v>40</v>
      </c>
      <c r="E253" s="133">
        <v>45</v>
      </c>
      <c r="F253" s="133">
        <v>50</v>
      </c>
      <c r="G253" s="133">
        <v>55</v>
      </c>
      <c r="H253" s="133">
        <v>60</v>
      </c>
      <c r="I253" s="15"/>
      <c r="J253" s="15"/>
      <c r="K253" s="15"/>
      <c r="L253" s="15"/>
      <c r="M253" s="15"/>
      <c r="N253" s="15"/>
      <c r="O253" s="15"/>
      <c r="P253" s="16" t="s">
        <v>123</v>
      </c>
    </row>
    <row r="254" spans="1:16" x14ac:dyDescent="0.15">
      <c r="A254" s="189" t="str">
        <f t="shared" si="11"/>
        <v>Standard 40° Flat Fan</v>
      </c>
      <c r="B254" s="15">
        <v>30</v>
      </c>
      <c r="C254" s="15">
        <v>35</v>
      </c>
      <c r="D254" s="15">
        <v>40</v>
      </c>
      <c r="E254" s="133">
        <v>45</v>
      </c>
      <c r="F254" s="133">
        <v>50</v>
      </c>
      <c r="G254" s="133">
        <v>55</v>
      </c>
      <c r="H254" s="133">
        <v>60</v>
      </c>
      <c r="I254" s="15"/>
      <c r="J254" s="15"/>
      <c r="K254" s="15"/>
      <c r="L254" s="15"/>
      <c r="M254" s="15"/>
      <c r="N254" s="15"/>
      <c r="O254" s="15"/>
      <c r="P254" s="16" t="s">
        <v>123</v>
      </c>
    </row>
    <row r="255" spans="1:16" x14ac:dyDescent="0.15">
      <c r="A255" s="189" t="str">
        <f t="shared" si="11"/>
        <v>Standard 80° Flat Fan</v>
      </c>
      <c r="B255" s="15">
        <v>30</v>
      </c>
      <c r="C255" s="15">
        <v>35</v>
      </c>
      <c r="D255" s="15">
        <v>40</v>
      </c>
      <c r="E255" s="133">
        <v>45</v>
      </c>
      <c r="F255" s="133">
        <v>50</v>
      </c>
      <c r="G255" s="133">
        <v>55</v>
      </c>
      <c r="H255" s="133">
        <v>60</v>
      </c>
      <c r="I255" s="15"/>
      <c r="J255" s="15"/>
      <c r="K255" s="15"/>
      <c r="L255" s="15"/>
      <c r="M255" s="15"/>
      <c r="N255" s="15"/>
      <c r="O255" s="15"/>
      <c r="P255" s="16" t="s">
        <v>123</v>
      </c>
    </row>
    <row r="256" spans="1:16" x14ac:dyDescent="0.15">
      <c r="A256" s="189" t="str">
        <f t="shared" si="11"/>
        <v>Steel Disc Core Straight Stream</v>
      </c>
      <c r="B256" s="15">
        <v>30</v>
      </c>
      <c r="C256" s="15">
        <v>35</v>
      </c>
      <c r="D256" s="15">
        <v>40</v>
      </c>
      <c r="E256" s="133">
        <v>45</v>
      </c>
      <c r="F256" s="133">
        <v>50</v>
      </c>
      <c r="G256" s="133">
        <v>55</v>
      </c>
      <c r="H256" s="133">
        <v>60</v>
      </c>
      <c r="I256" s="15"/>
      <c r="J256" s="15"/>
      <c r="K256" s="15"/>
      <c r="L256" s="15"/>
      <c r="M256" s="15"/>
      <c r="N256" s="15"/>
      <c r="O256" s="15"/>
      <c r="P256" s="16" t="s">
        <v>123</v>
      </c>
    </row>
    <row r="257" spans="1:16" x14ac:dyDescent="0.15">
      <c r="A257" s="189" t="str">
        <f t="shared" si="11"/>
        <v>Ceramic Disc Core Straight Stream</v>
      </c>
      <c r="B257" s="15">
        <v>30</v>
      </c>
      <c r="C257" s="15">
        <v>35</v>
      </c>
      <c r="D257" s="15">
        <v>40</v>
      </c>
      <c r="E257" s="133">
        <v>45</v>
      </c>
      <c r="F257" s="133">
        <v>50</v>
      </c>
      <c r="G257" s="133">
        <v>55</v>
      </c>
      <c r="H257" s="133">
        <v>60</v>
      </c>
      <c r="I257" s="15"/>
      <c r="J257" s="15"/>
      <c r="K257" s="15"/>
      <c r="L257" s="15"/>
      <c r="M257" s="15"/>
      <c r="N257" s="15"/>
      <c r="O257" s="15"/>
      <c r="P257" s="16" t="s">
        <v>123</v>
      </c>
    </row>
    <row r="258" spans="1:16" x14ac:dyDescent="0.15">
      <c r="A258" s="189" t="str">
        <f t="shared" si="11"/>
        <v>CP09 Deflection Angles Only</v>
      </c>
      <c r="B258" s="15">
        <v>30</v>
      </c>
      <c r="C258" s="15">
        <v>35</v>
      </c>
      <c r="D258" s="15">
        <v>40</v>
      </c>
      <c r="E258" s="133">
        <v>45</v>
      </c>
      <c r="F258" s="133">
        <v>50</v>
      </c>
      <c r="G258" s="133">
        <v>55</v>
      </c>
      <c r="H258" s="133">
        <v>60</v>
      </c>
      <c r="I258" s="15"/>
      <c r="J258" s="15"/>
      <c r="K258" s="15"/>
      <c r="L258" s="15"/>
      <c r="M258" s="15"/>
      <c r="N258" s="15"/>
      <c r="O258" s="15"/>
      <c r="P258" s="16" t="s">
        <v>123</v>
      </c>
    </row>
    <row r="259" spans="1:16" x14ac:dyDescent="0.15">
      <c r="A259" s="189" t="str">
        <f t="shared" si="11"/>
        <v>Davidon TriSet Deflection Angles Only</v>
      </c>
      <c r="B259" s="15">
        <v>30</v>
      </c>
      <c r="C259" s="15">
        <v>35</v>
      </c>
      <c r="D259" s="15">
        <v>40</v>
      </c>
      <c r="E259" s="133">
        <v>45</v>
      </c>
      <c r="F259" s="133">
        <v>50</v>
      </c>
      <c r="G259" s="133">
        <v>55</v>
      </c>
      <c r="H259" s="133">
        <v>60</v>
      </c>
      <c r="I259" s="15"/>
      <c r="J259" s="15"/>
      <c r="K259" s="15"/>
      <c r="L259" s="15"/>
      <c r="M259" s="15"/>
      <c r="N259" s="15"/>
      <c r="O259" s="15"/>
      <c r="P259" s="16" t="s">
        <v>123</v>
      </c>
    </row>
    <row r="260" spans="1:16" x14ac:dyDescent="0.15">
      <c r="A260" s="189" t="str">
        <f t="shared" si="11"/>
        <v>CP03</v>
      </c>
      <c r="B260" s="15">
        <v>30</v>
      </c>
      <c r="C260" s="15">
        <v>35</v>
      </c>
      <c r="D260" s="15">
        <v>40</v>
      </c>
      <c r="E260" s="133">
        <v>45</v>
      </c>
      <c r="F260" s="133">
        <v>50</v>
      </c>
      <c r="G260" s="133">
        <v>55</v>
      </c>
      <c r="H260" s="133">
        <v>60</v>
      </c>
      <c r="I260" s="15"/>
      <c r="J260" s="15"/>
      <c r="K260" s="15"/>
      <c r="L260" s="15"/>
      <c r="M260" s="15"/>
      <c r="N260" s="15"/>
      <c r="O260" s="15"/>
      <c r="P260" s="16" t="s">
        <v>123</v>
      </c>
    </row>
    <row r="261" spans="1:16" x14ac:dyDescent="0.15">
      <c r="A261" s="189" t="str">
        <f t="shared" si="11"/>
        <v>Steel Disc Core 45</v>
      </c>
      <c r="B261" s="15">
        <v>30</v>
      </c>
      <c r="C261" s="15">
        <v>35</v>
      </c>
      <c r="D261" s="15">
        <v>40</v>
      </c>
      <c r="E261" s="133">
        <v>45</v>
      </c>
      <c r="F261" s="133">
        <v>50</v>
      </c>
      <c r="G261" s="133">
        <v>55</v>
      </c>
      <c r="H261" s="133">
        <v>60</v>
      </c>
      <c r="I261" s="15"/>
      <c r="J261" s="15"/>
      <c r="K261" s="15"/>
      <c r="L261" s="15"/>
      <c r="M261" s="15"/>
      <c r="N261" s="15"/>
      <c r="O261" s="15"/>
      <c r="P261" s="16" t="s">
        <v>123</v>
      </c>
    </row>
    <row r="262" spans="1:16" x14ac:dyDescent="0.15">
      <c r="A262" s="189" t="str">
        <f t="shared" si="11"/>
        <v>Ceramic Disc Core 45</v>
      </c>
      <c r="B262" s="15">
        <v>30</v>
      </c>
      <c r="C262" s="15">
        <v>35</v>
      </c>
      <c r="D262" s="15">
        <v>40</v>
      </c>
      <c r="E262" s="133">
        <v>45</v>
      </c>
      <c r="F262" s="133">
        <v>50</v>
      </c>
      <c r="G262" s="133">
        <v>55</v>
      </c>
      <c r="H262" s="133">
        <v>60</v>
      </c>
      <c r="I262" s="15"/>
      <c r="J262" s="15"/>
      <c r="K262" s="15"/>
      <c r="L262" s="15"/>
      <c r="M262" s="15"/>
      <c r="N262" s="15"/>
      <c r="O262" s="15"/>
      <c r="P262" s="16" t="s">
        <v>123</v>
      </c>
    </row>
    <row r="263" spans="1:16" x14ac:dyDescent="0.15">
      <c r="A263" s="189" t="str">
        <f t="shared" si="11"/>
        <v>CP09 Straight Stream Only</v>
      </c>
      <c r="B263" s="15">
        <v>30</v>
      </c>
      <c r="C263" s="15">
        <v>35</v>
      </c>
      <c r="D263" s="15">
        <v>40</v>
      </c>
      <c r="E263" s="133">
        <v>45</v>
      </c>
      <c r="F263" s="133">
        <v>50</v>
      </c>
      <c r="G263" s="133">
        <v>55</v>
      </c>
      <c r="H263" s="133">
        <v>60</v>
      </c>
      <c r="I263" s="15"/>
      <c r="J263" s="15"/>
      <c r="K263" s="15"/>
      <c r="L263" s="15"/>
      <c r="M263" s="15"/>
      <c r="N263" s="15"/>
      <c r="O263" s="15"/>
      <c r="P263" s="16" t="s">
        <v>123</v>
      </c>
    </row>
    <row r="264" spans="1:16" x14ac:dyDescent="0.15">
      <c r="A264" s="189" t="str">
        <f t="shared" si="11"/>
        <v>Davidon TriSet Straight Stream Only</v>
      </c>
      <c r="B264" s="15">
        <v>30</v>
      </c>
      <c r="C264" s="15">
        <v>35</v>
      </c>
      <c r="D264" s="15">
        <v>40</v>
      </c>
      <c r="E264" s="133">
        <v>45</v>
      </c>
      <c r="F264" s="133">
        <v>50</v>
      </c>
      <c r="G264" s="133">
        <v>55</v>
      </c>
      <c r="H264" s="133">
        <v>60</v>
      </c>
      <c r="I264" s="15"/>
      <c r="J264" s="15"/>
      <c r="K264" s="15"/>
      <c r="L264" s="15"/>
      <c r="M264" s="15"/>
      <c r="N264" s="15"/>
      <c r="O264" s="15"/>
      <c r="P264" s="16" t="s">
        <v>123</v>
      </c>
    </row>
    <row r="265" spans="1:16" x14ac:dyDescent="0.15">
      <c r="A265" s="189" t="str">
        <f t="shared" si="11"/>
        <v>CP11TT 110° Flat Fan</v>
      </c>
      <c r="B265" s="15">
        <v>30</v>
      </c>
      <c r="C265" s="15">
        <v>35</v>
      </c>
      <c r="D265" s="15">
        <v>40</v>
      </c>
      <c r="E265" s="133">
        <v>45</v>
      </c>
      <c r="F265" s="133">
        <v>50</v>
      </c>
      <c r="G265" s="133">
        <v>55</v>
      </c>
      <c r="H265" s="133">
        <v>60</v>
      </c>
      <c r="I265" s="133"/>
      <c r="J265" s="15"/>
      <c r="K265" s="15"/>
      <c r="L265" s="15"/>
      <c r="M265" s="15"/>
      <c r="N265" s="15"/>
      <c r="O265" s="15"/>
      <c r="P265" s="16" t="s">
        <v>123</v>
      </c>
    </row>
    <row r="266" spans="1:16" x14ac:dyDescent="0.15">
      <c r="A266" s="189">
        <f t="shared" si="11"/>
        <v>0</v>
      </c>
      <c r="B266" s="15"/>
      <c r="C266" s="15"/>
      <c r="D266" s="15"/>
      <c r="E266" s="133"/>
      <c r="F266" s="133"/>
      <c r="G266" s="133"/>
      <c r="H266" s="133"/>
      <c r="I266" s="133"/>
      <c r="J266" s="15"/>
      <c r="K266" s="15"/>
      <c r="L266" s="15"/>
      <c r="M266" s="15"/>
      <c r="N266" s="15"/>
      <c r="O266" s="15"/>
      <c r="P266" s="16" t="s">
        <v>123</v>
      </c>
    </row>
    <row r="267" spans="1:16" x14ac:dyDescent="0.15">
      <c r="A267" s="189">
        <f t="shared" ref="A267" si="12">A20</f>
        <v>0</v>
      </c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6"/>
    </row>
    <row r="268" spans="1:16" ht="14" thickBot="1" x14ac:dyDescent="0.2">
      <c r="A268" s="190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8"/>
    </row>
    <row r="1048576" spans="2:8" x14ac:dyDescent="0.15">
      <c r="B1048576" s="15">
        <v>30</v>
      </c>
      <c r="C1048576" s="15">
        <v>35</v>
      </c>
      <c r="D1048576" s="15">
        <v>40</v>
      </c>
      <c r="E1048576" s="133">
        <v>45</v>
      </c>
      <c r="F1048576" s="133">
        <v>50</v>
      </c>
      <c r="G1048576" s="133">
        <v>55</v>
      </c>
      <c r="H1048576" s="133">
        <v>60</v>
      </c>
    </row>
  </sheetData>
  <sheetProtection selectLockedCells="1" selectUnlockedCells="1"/>
  <sortState ref="V63:AC76">
    <sortCondition ref="V63"/>
  </sortState>
  <mergeCells count="2">
    <mergeCell ref="D1:R1"/>
    <mergeCell ref="D2:R2"/>
  </mergeCells>
  <pageMargins left="0.7" right="0.7" top="0.75" bottom="0.75" header="0.3" footer="0.3"/>
  <pageSetup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N61"/>
  <sheetViews>
    <sheetView zoomScale="85" zoomScaleNormal="85" zoomScalePageLayoutView="85" workbookViewId="0">
      <selection activeCell="H11" sqref="H11"/>
    </sheetView>
  </sheetViews>
  <sheetFormatPr baseColWidth="10" defaultColWidth="8.83203125" defaultRowHeight="13" x14ac:dyDescent="0.15"/>
  <cols>
    <col min="1" max="1" width="14.5" customWidth="1"/>
    <col min="2" max="2" width="18" customWidth="1"/>
  </cols>
  <sheetData>
    <row r="1" spans="1:14" ht="15" x14ac:dyDescent="0.2">
      <c r="C1" s="15"/>
      <c r="D1" s="70"/>
      <c r="E1" s="70"/>
      <c r="F1" s="70"/>
      <c r="G1" s="70"/>
      <c r="H1" s="70"/>
      <c r="I1" s="70"/>
      <c r="J1" s="70"/>
      <c r="K1" s="70"/>
      <c r="L1" s="70"/>
      <c r="M1" s="15"/>
      <c r="N1" s="15"/>
    </row>
    <row r="2" spans="1:14" x14ac:dyDescent="0.15">
      <c r="C2" s="15"/>
      <c r="D2" s="69"/>
      <c r="E2" s="69"/>
      <c r="F2" s="69"/>
      <c r="G2" s="69"/>
      <c r="H2" s="69"/>
      <c r="I2" s="69"/>
      <c r="J2" s="69"/>
      <c r="K2" s="69"/>
      <c r="L2" s="69"/>
      <c r="M2" s="15"/>
      <c r="N2" s="15"/>
    </row>
    <row r="3" spans="1:14" x14ac:dyDescent="0.15">
      <c r="A3" t="s">
        <v>112</v>
      </c>
      <c r="H3" s="69"/>
      <c r="I3" s="69"/>
      <c r="J3" s="69"/>
      <c r="K3" s="69"/>
      <c r="L3" s="69"/>
      <c r="M3" s="15"/>
      <c r="N3" s="15"/>
    </row>
    <row r="4" spans="1:14" x14ac:dyDescent="0.15">
      <c r="A4" t="s">
        <v>113</v>
      </c>
      <c r="H4" s="69"/>
      <c r="I4" s="69"/>
      <c r="J4" s="69"/>
      <c r="K4" s="69"/>
      <c r="L4" s="69"/>
      <c r="M4" s="15"/>
      <c r="N4" s="15"/>
    </row>
    <row r="5" spans="1:14" x14ac:dyDescent="0.15">
      <c r="H5" s="69"/>
      <c r="I5" s="69"/>
      <c r="J5" s="69"/>
      <c r="K5" s="69"/>
      <c r="L5" s="69"/>
      <c r="M5" s="15"/>
      <c r="N5" s="15"/>
    </row>
    <row r="6" spans="1:14" ht="16" x14ac:dyDescent="0.2">
      <c r="A6" s="162"/>
      <c r="B6" s="162" t="s">
        <v>38</v>
      </c>
      <c r="C6" s="162" t="s">
        <v>39</v>
      </c>
      <c r="D6" s="162" t="s">
        <v>40</v>
      </c>
      <c r="E6" s="166" t="s">
        <v>41</v>
      </c>
      <c r="F6" s="166" t="s">
        <v>42</v>
      </c>
      <c r="G6" s="185" t="s">
        <v>173</v>
      </c>
      <c r="I6" s="69"/>
      <c r="J6" s="69"/>
      <c r="K6" s="69"/>
      <c r="L6" s="69"/>
      <c r="M6" s="15"/>
      <c r="N6" s="15"/>
    </row>
    <row r="7" spans="1:14" ht="48" x14ac:dyDescent="0.2">
      <c r="A7" s="167" t="s">
        <v>11</v>
      </c>
      <c r="B7" s="168" t="s">
        <v>38</v>
      </c>
      <c r="C7" s="168" t="s">
        <v>39</v>
      </c>
      <c r="D7" s="168" t="s">
        <v>40</v>
      </c>
      <c r="E7" s="168" t="s">
        <v>41</v>
      </c>
      <c r="F7" s="168" t="s">
        <v>42</v>
      </c>
      <c r="G7" s="69" t="s">
        <v>173</v>
      </c>
      <c r="H7" s="221" t="s">
        <v>12</v>
      </c>
      <c r="I7" s="69"/>
      <c r="J7" s="69"/>
      <c r="K7" s="69"/>
      <c r="L7" s="69"/>
      <c r="M7" s="15"/>
      <c r="N7" s="15"/>
    </row>
    <row r="8" spans="1:14" ht="16" x14ac:dyDescent="0.2">
      <c r="A8" s="169">
        <v>0.1</v>
      </c>
      <c r="B8" s="170">
        <v>59.5</v>
      </c>
      <c r="C8" s="170">
        <v>110.3</v>
      </c>
      <c r="D8" s="170">
        <v>162</v>
      </c>
      <c r="E8" s="170">
        <v>191.7</v>
      </c>
      <c r="F8" s="170">
        <v>226.1</v>
      </c>
      <c r="G8" s="69">
        <v>302.5</v>
      </c>
      <c r="H8" s="222">
        <f>'Atomization Model'!E19</f>
        <v>262.87499476809057</v>
      </c>
      <c r="I8" s="69"/>
      <c r="J8" s="69"/>
      <c r="K8" s="69"/>
      <c r="L8" s="69"/>
      <c r="M8" s="15"/>
      <c r="N8" s="15"/>
    </row>
    <row r="9" spans="1:14" ht="16" x14ac:dyDescent="0.2">
      <c r="A9" s="169">
        <v>0.5</v>
      </c>
      <c r="B9" s="170">
        <v>134.4</v>
      </c>
      <c r="C9" s="170">
        <v>248.1</v>
      </c>
      <c r="D9" s="170">
        <v>357.8</v>
      </c>
      <c r="E9" s="170">
        <v>431</v>
      </c>
      <c r="F9" s="170">
        <v>500.9</v>
      </c>
      <c r="G9" s="69">
        <v>658.6</v>
      </c>
      <c r="H9" s="222">
        <f>'Atomization Model'!E20</f>
        <v>582.58268121356252</v>
      </c>
      <c r="I9" s="69"/>
      <c r="J9" s="69"/>
      <c r="K9" s="69"/>
      <c r="L9" s="69"/>
      <c r="M9" s="15"/>
      <c r="N9" s="15"/>
    </row>
    <row r="10" spans="1:14" ht="16" x14ac:dyDescent="0.2">
      <c r="A10" s="169">
        <v>0.9</v>
      </c>
      <c r="B10" s="170">
        <v>236.4</v>
      </c>
      <c r="C10" s="170">
        <v>409.4</v>
      </c>
      <c r="D10" s="170">
        <v>584</v>
      </c>
      <c r="E10" s="170">
        <v>737.1</v>
      </c>
      <c r="F10" s="170">
        <v>819.8</v>
      </c>
      <c r="G10" s="69">
        <v>1142.2</v>
      </c>
      <c r="H10" s="222">
        <f>'Atomization Model'!E21</f>
        <v>1030.062298180756</v>
      </c>
      <c r="I10" s="69"/>
      <c r="J10" s="69"/>
      <c r="K10" s="69"/>
      <c r="L10" s="69"/>
      <c r="M10" s="15"/>
      <c r="N10" s="15"/>
    </row>
    <row r="11" spans="1:14" ht="16" x14ac:dyDescent="0.2">
      <c r="A11" s="162"/>
      <c r="B11" s="162"/>
      <c r="C11" s="164"/>
      <c r="D11" s="163"/>
      <c r="E11" s="163"/>
      <c r="F11" s="163"/>
      <c r="G11" s="163"/>
      <c r="H11" s="163"/>
      <c r="I11" s="69"/>
      <c r="J11" s="69"/>
      <c r="K11" s="69"/>
      <c r="L11" s="69"/>
      <c r="M11" s="15"/>
      <c r="N11" s="15"/>
    </row>
    <row r="12" spans="1:14" ht="16" x14ac:dyDescent="0.2">
      <c r="A12" s="162"/>
      <c r="B12" s="162"/>
      <c r="C12" s="164"/>
      <c r="D12" s="163"/>
      <c r="E12" s="163"/>
      <c r="F12" s="163"/>
      <c r="G12" s="163"/>
      <c r="H12" s="163"/>
      <c r="I12" s="69"/>
      <c r="J12" s="69"/>
      <c r="K12" s="69"/>
      <c r="L12" s="69"/>
      <c r="M12" s="15"/>
      <c r="N12" s="15"/>
    </row>
    <row r="13" spans="1:14" ht="16" x14ac:dyDescent="0.2">
      <c r="A13" s="169" t="s">
        <v>43</v>
      </c>
      <c r="B13" s="171" t="str">
        <f>IF(H8&gt;=G8, "ULT. COARSE", IF(H8&gt;=F8,"EXT. COARSE",IF(H8&gt;=E8,"VERY COARSE",IF(H8&gt;=D8,"COARSE",IF(H8&gt;=C8,"MEDIUM",IF(H8&gt;=B8,"FINE",IF(H8&gt;=0,"VERY FINE")))))))</f>
        <v>EXT. COARSE</v>
      </c>
      <c r="C13" s="171">
        <f>IF(H8&gt;=G8, 7, IF(H8&gt;=F8,6,IF(H8&gt;=E8,5,IF(H8&gt;=D8,4,IF(H8&gt;=C8,3,IF(H8&gt;=B8,2,IF(H8&gt;=0,1)))))))</f>
        <v>6</v>
      </c>
      <c r="D13" s="172"/>
      <c r="E13" s="173"/>
      <c r="F13" s="163"/>
      <c r="G13" s="163"/>
      <c r="H13" s="163"/>
      <c r="I13" s="69"/>
      <c r="J13" s="69"/>
      <c r="K13" s="69"/>
      <c r="L13" s="69"/>
      <c r="M13" s="15"/>
      <c r="N13" s="15"/>
    </row>
    <row r="14" spans="1:14" ht="16" x14ac:dyDescent="0.2">
      <c r="A14" s="169" t="s">
        <v>44</v>
      </c>
      <c r="B14" s="171" t="str">
        <f>IF(H9&gt;=G9, "ULT. COARSE", IF(H9&gt;=F9,"EXT. COARSE",IF(H9&gt;=E9,"VERY COARSE",IF(H9&gt;=D9,"COARSE",IF(H9&gt;=C9,"MEDIUM",IF(H9&gt;=B9,"FINE",IF(H9&gt;=0,"VERY FINE")))))))</f>
        <v>EXT. COARSE</v>
      </c>
      <c r="C14" s="171">
        <f t="shared" ref="C14:C15" si="0">IF(H9&gt;=G9, 7, IF(H9&gt;=F9,6,IF(H9&gt;=E9,5,IF(H9&gt;=D9,4,IF(H9&gt;=C9,3,IF(H9&gt;=B9,2,IF(H9&gt;=0,1)))))))</f>
        <v>6</v>
      </c>
      <c r="D14" s="172"/>
      <c r="E14" s="163"/>
      <c r="F14" s="163"/>
      <c r="G14" s="163"/>
      <c r="H14" s="163"/>
      <c r="I14" s="69"/>
      <c r="J14" s="69"/>
      <c r="K14" s="69"/>
      <c r="L14" s="69"/>
      <c r="M14" s="15"/>
      <c r="N14" s="15"/>
    </row>
    <row r="15" spans="1:14" ht="16" x14ac:dyDescent="0.2">
      <c r="A15" s="169" t="s">
        <v>104</v>
      </c>
      <c r="B15" s="171" t="str">
        <f>IF(H10&gt;=G10, "ULT. COARSE", IF(H10&gt;=F10,"EXT. COARSE",IF(H10&gt;=E10,"VERY COARSE",IF(H10&gt;=D10,"COARSE",IF(H10&gt;=C10,"MEDIUM",IF(H10&gt;=B10,"FINE",IF(H10&gt;=0,"VERY FINE")))))))</f>
        <v>EXT. COARSE</v>
      </c>
      <c r="C15" s="171">
        <f t="shared" si="0"/>
        <v>6</v>
      </c>
      <c r="D15" s="163"/>
      <c r="E15" s="163"/>
      <c r="F15" s="163"/>
      <c r="G15" s="163"/>
      <c r="H15" s="163"/>
      <c r="I15" s="69"/>
      <c r="J15" s="69"/>
      <c r="K15" s="69"/>
      <c r="L15" s="69"/>
      <c r="M15" s="15"/>
      <c r="N15" s="15"/>
    </row>
    <row r="16" spans="1:14" ht="16" x14ac:dyDescent="0.2">
      <c r="A16" s="162" t="s">
        <v>45</v>
      </c>
      <c r="B16" s="162" t="str">
        <f>CHOOSE(MIN(C13:C14),"VERY FINE","FINE","MEDIUM","COARSE","VERY COARSE","EXT. COARSE","ULT. COARSE")</f>
        <v>EXT. COARSE</v>
      </c>
      <c r="C16" s="164"/>
      <c r="D16" s="163"/>
      <c r="E16" s="163"/>
      <c r="F16" s="163"/>
      <c r="G16" s="163"/>
      <c r="H16" s="163"/>
      <c r="I16" s="69"/>
      <c r="J16" s="69"/>
      <c r="K16" s="69"/>
      <c r="L16" s="69"/>
      <c r="M16" s="15"/>
      <c r="N16" s="15"/>
    </row>
    <row r="17" spans="1:14" x14ac:dyDescent="0.15">
      <c r="C17" s="15"/>
      <c r="D17" s="69"/>
      <c r="E17" s="69"/>
      <c r="F17" s="69"/>
      <c r="G17" s="69"/>
      <c r="H17" s="69"/>
      <c r="I17" s="69"/>
      <c r="J17" s="69"/>
      <c r="K17" s="69"/>
      <c r="L17" s="69"/>
      <c r="M17" s="15"/>
      <c r="N17" s="15"/>
    </row>
    <row r="18" spans="1:14" x14ac:dyDescent="0.15">
      <c r="A18" s="246"/>
      <c r="B18" s="246"/>
      <c r="C18" s="246"/>
      <c r="D18" s="246"/>
      <c r="E18" s="246"/>
      <c r="F18" s="246"/>
      <c r="G18" s="246"/>
      <c r="H18" s="246"/>
      <c r="I18" s="69"/>
      <c r="J18" s="69"/>
      <c r="K18" s="69"/>
      <c r="L18" s="69"/>
      <c r="M18" s="15"/>
      <c r="N18" s="15"/>
    </row>
    <row r="19" spans="1:14" ht="16" x14ac:dyDescent="0.2">
      <c r="A19" s="162"/>
      <c r="B19" s="162"/>
      <c r="C19" s="162"/>
      <c r="D19" s="163"/>
      <c r="E19" s="163"/>
      <c r="F19" s="69"/>
      <c r="G19" s="69"/>
      <c r="H19" s="69"/>
      <c r="I19" s="69"/>
      <c r="J19" s="69"/>
      <c r="K19" s="69"/>
      <c r="L19" s="69"/>
      <c r="M19" s="15"/>
      <c r="N19" s="15"/>
    </row>
    <row r="20" spans="1:14" ht="16" x14ac:dyDescent="0.2">
      <c r="A20" s="162"/>
      <c r="B20" s="162"/>
      <c r="C20" s="164"/>
      <c r="D20" s="163"/>
      <c r="E20" s="163"/>
      <c r="F20" s="69"/>
      <c r="G20" s="69"/>
      <c r="H20" s="69"/>
      <c r="I20" s="69"/>
      <c r="J20" s="69"/>
      <c r="K20" s="69"/>
      <c r="L20" s="69"/>
      <c r="M20" s="15"/>
      <c r="N20" s="15"/>
    </row>
    <row r="21" spans="1:14" ht="16" x14ac:dyDescent="0.2">
      <c r="A21" s="162"/>
      <c r="B21" s="165"/>
      <c r="C21" s="164"/>
      <c r="D21" s="163"/>
      <c r="E21" s="163"/>
      <c r="F21" s="69"/>
      <c r="G21" s="69"/>
      <c r="H21" s="69"/>
      <c r="I21" s="69"/>
      <c r="J21" s="69"/>
      <c r="K21" s="69"/>
      <c r="L21" s="69"/>
      <c r="M21" s="15"/>
      <c r="N21" s="15"/>
    </row>
    <row r="22" spans="1:14" ht="16" x14ac:dyDescent="0.2">
      <c r="A22" s="162"/>
      <c r="B22" s="162"/>
      <c r="C22" s="164"/>
      <c r="D22" s="163"/>
      <c r="E22" s="163"/>
      <c r="F22" s="69"/>
      <c r="G22" s="69"/>
      <c r="H22" s="69"/>
      <c r="I22" s="69"/>
      <c r="J22" s="69"/>
      <c r="K22" s="69"/>
      <c r="L22" s="69"/>
      <c r="M22" s="15"/>
      <c r="N22" s="15"/>
    </row>
    <row r="23" spans="1:14" ht="16" x14ac:dyDescent="0.2">
      <c r="A23" s="162"/>
      <c r="B23" s="165"/>
      <c r="C23" s="166"/>
      <c r="D23" s="163"/>
      <c r="E23" s="163"/>
      <c r="F23" s="69"/>
      <c r="G23" s="69"/>
      <c r="H23" s="69"/>
      <c r="I23" s="69"/>
      <c r="J23" s="69"/>
      <c r="K23" s="69"/>
      <c r="L23" s="69"/>
      <c r="M23" s="15"/>
      <c r="N23" s="15"/>
    </row>
    <row r="24" spans="1:14" ht="16" x14ac:dyDescent="0.2">
      <c r="A24" s="162"/>
      <c r="B24" s="162"/>
      <c r="C24" s="166"/>
      <c r="D24" s="163"/>
      <c r="E24" s="163"/>
      <c r="F24" s="163"/>
      <c r="G24" s="163"/>
      <c r="H24" s="69"/>
      <c r="I24" s="69"/>
      <c r="J24" s="69"/>
      <c r="K24" s="69"/>
      <c r="L24" s="69"/>
      <c r="M24" s="15"/>
      <c r="N24" s="15"/>
    </row>
    <row r="25" spans="1:14" ht="16" x14ac:dyDescent="0.2">
      <c r="A25" s="162"/>
      <c r="B25" s="174"/>
      <c r="C25" s="164"/>
      <c r="D25" s="163"/>
      <c r="E25" s="163"/>
      <c r="F25" s="163"/>
      <c r="G25" s="163"/>
      <c r="H25" s="69"/>
      <c r="I25" s="69"/>
      <c r="J25" s="69"/>
      <c r="K25" s="69"/>
      <c r="L25" s="69"/>
      <c r="M25" s="15"/>
      <c r="N25" s="15"/>
    </row>
    <row r="26" spans="1:14" ht="16" x14ac:dyDescent="0.2">
      <c r="A26" s="162"/>
      <c r="B26" s="162"/>
      <c r="C26" s="166"/>
      <c r="D26" s="163"/>
      <c r="E26" s="163"/>
      <c r="F26" s="163"/>
      <c r="G26" s="163"/>
      <c r="H26" s="69"/>
      <c r="I26" s="69"/>
      <c r="J26" s="69"/>
      <c r="K26" s="69"/>
      <c r="L26" s="69"/>
      <c r="M26" s="15"/>
      <c r="N26" s="15"/>
    </row>
    <row r="27" spans="1:14" ht="16" x14ac:dyDescent="0.2">
      <c r="A27" s="162"/>
      <c r="B27" s="162"/>
      <c r="C27" s="164"/>
      <c r="D27" s="163"/>
      <c r="E27" s="163"/>
      <c r="F27" s="163"/>
      <c r="G27" s="163"/>
      <c r="H27" s="69"/>
      <c r="I27" s="69"/>
      <c r="J27" s="69"/>
      <c r="K27" s="69"/>
      <c r="L27" s="69"/>
      <c r="M27" s="15"/>
      <c r="N27" s="15"/>
    </row>
    <row r="28" spans="1:14" ht="16" x14ac:dyDescent="0.2">
      <c r="A28" s="162"/>
      <c r="B28" s="162"/>
      <c r="C28" s="164"/>
      <c r="D28" s="163"/>
      <c r="E28" s="163"/>
      <c r="F28" s="163"/>
      <c r="G28" s="163"/>
      <c r="H28" s="69"/>
      <c r="I28" s="69"/>
      <c r="J28" s="69"/>
      <c r="K28" s="69"/>
      <c r="L28" s="69"/>
      <c r="M28" s="15"/>
      <c r="N28" s="15"/>
    </row>
    <row r="29" spans="1:14" ht="16" x14ac:dyDescent="0.2">
      <c r="A29" s="162"/>
      <c r="B29" s="162"/>
      <c r="C29" s="164"/>
      <c r="D29" s="163"/>
      <c r="E29" s="163"/>
      <c r="F29" s="163"/>
      <c r="G29" s="163"/>
      <c r="H29" s="69"/>
      <c r="I29" s="69"/>
      <c r="J29" s="69"/>
      <c r="K29" s="69"/>
      <c r="L29" s="69"/>
      <c r="M29" s="15"/>
      <c r="N29" s="15"/>
    </row>
    <row r="30" spans="1:14" ht="16" x14ac:dyDescent="0.2">
      <c r="A30" s="162"/>
      <c r="B30" s="162"/>
      <c r="C30" s="164"/>
      <c r="D30" s="163"/>
      <c r="E30" s="163"/>
      <c r="F30" s="163"/>
      <c r="G30" s="163"/>
      <c r="H30" s="69"/>
      <c r="I30" s="69"/>
      <c r="J30" s="69"/>
      <c r="K30" s="69"/>
      <c r="L30" s="69"/>
      <c r="M30" s="15"/>
      <c r="N30" s="15"/>
    </row>
    <row r="31" spans="1:14" ht="16" x14ac:dyDescent="0.2">
      <c r="A31" s="162"/>
      <c r="B31" s="162"/>
      <c r="C31" s="164"/>
      <c r="D31" s="163"/>
      <c r="E31" s="163"/>
      <c r="F31" s="173"/>
      <c r="G31" s="163"/>
      <c r="H31" s="69"/>
      <c r="I31" s="69"/>
      <c r="J31" s="69"/>
      <c r="K31" s="69"/>
      <c r="L31" s="69"/>
      <c r="M31" s="15"/>
      <c r="N31" s="15"/>
    </row>
    <row r="32" spans="1:14" ht="16" x14ac:dyDescent="0.2">
      <c r="A32" s="162"/>
      <c r="B32" s="162"/>
      <c r="C32" s="164"/>
      <c r="D32" s="163"/>
      <c r="E32" s="163"/>
      <c r="F32" s="163"/>
      <c r="G32" s="163"/>
      <c r="H32" s="69"/>
      <c r="I32" s="69"/>
      <c r="J32" s="69"/>
      <c r="K32" s="69"/>
      <c r="L32" s="69"/>
      <c r="M32" s="15"/>
      <c r="N32" s="15"/>
    </row>
    <row r="33" spans="1:14" ht="16" x14ac:dyDescent="0.2">
      <c r="A33" s="162"/>
      <c r="B33" s="162"/>
      <c r="C33" s="164"/>
      <c r="D33" s="163"/>
      <c r="E33" s="163"/>
      <c r="F33" s="163"/>
      <c r="G33" s="163"/>
      <c r="H33" s="69"/>
      <c r="I33" s="69"/>
      <c r="J33" s="69"/>
      <c r="K33" s="69"/>
      <c r="L33" s="69"/>
      <c r="M33" s="15"/>
      <c r="N33" s="15"/>
    </row>
    <row r="34" spans="1:14" ht="16" x14ac:dyDescent="0.2">
      <c r="A34" s="162"/>
      <c r="B34" s="162"/>
      <c r="C34" s="164"/>
      <c r="D34" s="163"/>
      <c r="E34" s="163"/>
      <c r="F34" s="164"/>
      <c r="G34" s="163"/>
      <c r="H34" s="69"/>
      <c r="I34" s="69"/>
      <c r="J34" s="69"/>
      <c r="K34" s="69"/>
      <c r="L34" s="69"/>
      <c r="M34" s="15"/>
      <c r="N34" s="15"/>
    </row>
    <row r="35" spans="1:14" ht="16" x14ac:dyDescent="0.2">
      <c r="A35" s="162"/>
      <c r="B35" s="162"/>
      <c r="C35" s="164"/>
      <c r="D35" s="163"/>
      <c r="E35" s="163"/>
      <c r="F35" s="164"/>
      <c r="G35" s="163"/>
      <c r="H35" s="69"/>
      <c r="I35" s="69"/>
      <c r="J35" s="69"/>
      <c r="K35" s="69"/>
      <c r="L35" s="69"/>
      <c r="M35" s="15"/>
      <c r="N35" s="15"/>
    </row>
    <row r="36" spans="1:14" ht="16" x14ac:dyDescent="0.2">
      <c r="A36" s="162"/>
      <c r="B36" s="162"/>
      <c r="C36" s="164"/>
      <c r="D36" s="163"/>
      <c r="E36" s="163"/>
      <c r="F36" s="163"/>
      <c r="G36" s="163"/>
      <c r="H36" s="69"/>
      <c r="I36" s="69"/>
      <c r="J36" s="69"/>
      <c r="K36" s="69"/>
      <c r="L36" s="69"/>
      <c r="M36" s="15"/>
      <c r="N36" s="15"/>
    </row>
    <row r="37" spans="1:14" x14ac:dyDescent="0.15">
      <c r="C37" s="15"/>
      <c r="D37" s="69"/>
      <c r="E37" s="69"/>
      <c r="F37" s="69"/>
      <c r="G37" s="69"/>
      <c r="H37" s="69"/>
      <c r="I37" s="69"/>
      <c r="J37" s="69"/>
      <c r="K37" s="69"/>
      <c r="L37" s="69"/>
      <c r="M37" s="15"/>
      <c r="N37" s="15"/>
    </row>
    <row r="38" spans="1:14" x14ac:dyDescent="0.15">
      <c r="C38" s="15"/>
      <c r="D38" s="69"/>
      <c r="E38" s="69"/>
      <c r="F38" s="69"/>
      <c r="G38" s="69"/>
      <c r="H38" s="69"/>
      <c r="I38" s="69"/>
      <c r="J38" s="69"/>
      <c r="K38" s="69"/>
      <c r="L38" s="69"/>
      <c r="M38" s="15"/>
      <c r="N38" s="15"/>
    </row>
    <row r="39" spans="1:14" x14ac:dyDescent="0.15">
      <c r="C39" s="15"/>
      <c r="D39" s="69"/>
      <c r="E39" s="69"/>
      <c r="F39" s="69"/>
      <c r="G39" s="69"/>
      <c r="H39" s="69"/>
      <c r="I39" s="69"/>
      <c r="J39" s="69"/>
      <c r="K39" s="69"/>
      <c r="L39" s="69"/>
      <c r="M39" s="15"/>
      <c r="N39" s="15"/>
    </row>
    <row r="40" spans="1:14" x14ac:dyDescent="0.15">
      <c r="C40" s="15"/>
      <c r="D40" s="69"/>
      <c r="E40" s="69"/>
      <c r="F40" s="69"/>
      <c r="G40" s="69"/>
      <c r="H40" s="69"/>
      <c r="I40" s="69"/>
      <c r="J40" s="69"/>
      <c r="K40" s="69"/>
      <c r="L40" s="69"/>
      <c r="M40" s="15"/>
      <c r="N40" s="15"/>
    </row>
    <row r="41" spans="1:14" x14ac:dyDescent="0.15">
      <c r="C41" s="15"/>
      <c r="D41" s="69"/>
      <c r="E41" s="69"/>
      <c r="F41" s="69"/>
      <c r="G41" s="69"/>
      <c r="H41" s="69"/>
      <c r="I41" s="69"/>
      <c r="J41" s="69"/>
      <c r="K41" s="69"/>
      <c r="L41" s="69"/>
      <c r="M41" s="15"/>
      <c r="N41" s="15"/>
    </row>
    <row r="42" spans="1:14" x14ac:dyDescent="0.15">
      <c r="C42" s="15"/>
      <c r="D42" s="69"/>
      <c r="E42" s="69"/>
      <c r="F42" s="69"/>
      <c r="G42" s="69"/>
      <c r="H42" s="69"/>
      <c r="I42" s="69"/>
      <c r="J42" s="69"/>
      <c r="K42" s="69"/>
      <c r="L42" s="69"/>
      <c r="M42" s="15"/>
      <c r="N42" s="15"/>
    </row>
    <row r="43" spans="1:14" x14ac:dyDescent="0.15">
      <c r="C43" s="15"/>
      <c r="D43" s="69"/>
      <c r="E43" s="69"/>
      <c r="F43" s="69"/>
      <c r="G43" s="69"/>
      <c r="H43" s="69"/>
      <c r="I43" s="69"/>
      <c r="J43" s="69"/>
      <c r="K43" s="69"/>
      <c r="L43" s="69"/>
      <c r="M43" s="15"/>
      <c r="N43" s="15"/>
    </row>
    <row r="44" spans="1:14" x14ac:dyDescent="0.15">
      <c r="C44" s="15"/>
      <c r="D44" s="69"/>
      <c r="E44" s="69"/>
      <c r="F44" s="69"/>
      <c r="G44" s="69"/>
      <c r="H44" s="69"/>
      <c r="I44" s="69"/>
      <c r="J44" s="69"/>
      <c r="K44" s="69"/>
      <c r="L44" s="69"/>
      <c r="M44" s="15"/>
      <c r="N44" s="15"/>
    </row>
    <row r="45" spans="1:14" x14ac:dyDescent="0.15">
      <c r="C45" s="15"/>
      <c r="D45" s="69"/>
      <c r="E45" s="69"/>
      <c r="F45" s="69"/>
      <c r="G45" s="69"/>
      <c r="H45" s="69"/>
      <c r="I45" s="69"/>
      <c r="J45" s="69"/>
      <c r="K45" s="69"/>
      <c r="L45" s="69"/>
      <c r="M45" s="15"/>
      <c r="N45" s="15"/>
    </row>
    <row r="46" spans="1:14" x14ac:dyDescent="0.15">
      <c r="C46" s="15"/>
      <c r="D46" s="69"/>
      <c r="E46" s="69"/>
      <c r="F46" s="69"/>
      <c r="G46" s="69"/>
      <c r="H46" s="69"/>
      <c r="I46" s="69"/>
      <c r="J46" s="69"/>
      <c r="K46" s="69"/>
      <c r="L46" s="69"/>
      <c r="M46" s="15"/>
      <c r="N46" s="15"/>
    </row>
    <row r="47" spans="1:14" x14ac:dyDescent="0.15">
      <c r="C47" s="15"/>
      <c r="D47" s="69"/>
      <c r="E47" s="69"/>
      <c r="F47" s="69"/>
      <c r="G47" s="69"/>
      <c r="H47" s="69"/>
      <c r="I47" s="69"/>
      <c r="J47" s="69"/>
      <c r="K47" s="69"/>
      <c r="L47" s="69"/>
      <c r="M47" s="15"/>
      <c r="N47" s="15"/>
    </row>
    <row r="48" spans="1:14" x14ac:dyDescent="0.15">
      <c r="C48" s="15"/>
      <c r="D48" s="69"/>
      <c r="E48" s="69"/>
      <c r="F48" s="69"/>
      <c r="G48" s="69"/>
      <c r="H48" s="69"/>
      <c r="I48" s="69"/>
      <c r="J48" s="69"/>
      <c r="K48" s="69"/>
      <c r="L48" s="69"/>
      <c r="M48" s="15"/>
      <c r="N48" s="15"/>
    </row>
    <row r="49" spans="3:14" x14ac:dyDescent="0.15">
      <c r="C49" s="15"/>
      <c r="D49" s="69"/>
      <c r="E49" s="69"/>
      <c r="F49" s="69"/>
      <c r="G49" s="69"/>
      <c r="H49" s="69"/>
      <c r="I49" s="69"/>
      <c r="J49" s="69"/>
      <c r="K49" s="69"/>
      <c r="L49" s="69"/>
      <c r="M49" s="15"/>
      <c r="N49" s="15"/>
    </row>
    <row r="50" spans="3:14" x14ac:dyDescent="0.15">
      <c r="C50" s="15"/>
      <c r="D50" s="69"/>
      <c r="E50" s="69"/>
      <c r="F50" s="69"/>
      <c r="G50" s="69"/>
      <c r="H50" s="69"/>
      <c r="I50" s="69"/>
      <c r="J50" s="69"/>
      <c r="K50" s="69"/>
      <c r="L50" s="69"/>
      <c r="M50" s="15"/>
      <c r="N50" s="15"/>
    </row>
    <row r="51" spans="3:14" x14ac:dyDescent="0.15">
      <c r="C51" s="15"/>
      <c r="D51" s="69"/>
      <c r="E51" s="69"/>
      <c r="F51" s="69"/>
      <c r="G51" s="69"/>
      <c r="H51" s="69"/>
      <c r="I51" s="69"/>
      <c r="J51" s="69"/>
      <c r="K51" s="69"/>
      <c r="L51" s="69"/>
      <c r="M51" s="15"/>
      <c r="N51" s="15"/>
    </row>
    <row r="52" spans="3:14" x14ac:dyDescent="0.15">
      <c r="C52" s="15"/>
      <c r="D52" s="69"/>
      <c r="E52" s="69"/>
      <c r="F52" s="69"/>
      <c r="G52" s="69"/>
      <c r="H52" s="69"/>
      <c r="I52" s="69"/>
      <c r="J52" s="69"/>
      <c r="K52" s="69"/>
      <c r="L52" s="69"/>
      <c r="M52" s="15"/>
      <c r="N52" s="15"/>
    </row>
    <row r="53" spans="3:14" x14ac:dyDescent="0.15">
      <c r="C53" s="15"/>
      <c r="D53" s="69"/>
      <c r="E53" s="69"/>
      <c r="F53" s="69"/>
      <c r="G53" s="69"/>
      <c r="H53" s="69"/>
      <c r="I53" s="69"/>
      <c r="J53" s="69"/>
      <c r="K53" s="69"/>
      <c r="L53" s="69"/>
      <c r="M53" s="15"/>
      <c r="N53" s="15"/>
    </row>
    <row r="54" spans="3:14" x14ac:dyDescent="0.15">
      <c r="C54" s="15"/>
      <c r="D54" s="69"/>
      <c r="E54" s="69"/>
      <c r="F54" s="69"/>
      <c r="G54" s="69"/>
      <c r="H54" s="69"/>
      <c r="I54" s="69"/>
      <c r="J54" s="69"/>
      <c r="K54" s="69"/>
      <c r="L54" s="69"/>
      <c r="M54" s="15"/>
      <c r="N54" s="15"/>
    </row>
    <row r="55" spans="3:14" x14ac:dyDescent="0.15">
      <c r="C55" s="15"/>
      <c r="D55" s="69"/>
      <c r="E55" s="69"/>
      <c r="F55" s="69"/>
      <c r="G55" s="69"/>
      <c r="H55" s="69"/>
      <c r="I55" s="69"/>
      <c r="J55" s="69"/>
      <c r="K55" s="69"/>
      <c r="L55" s="69"/>
      <c r="M55" s="15"/>
      <c r="N55" s="15"/>
    </row>
    <row r="56" spans="3:14" x14ac:dyDescent="0.15">
      <c r="C56" s="15"/>
      <c r="D56" s="69"/>
      <c r="E56" s="69"/>
      <c r="F56" s="69"/>
      <c r="G56" s="69"/>
      <c r="H56" s="69"/>
      <c r="I56" s="69"/>
      <c r="J56" s="69"/>
      <c r="K56" s="69"/>
      <c r="L56" s="69"/>
      <c r="M56" s="15"/>
      <c r="N56" s="15"/>
    </row>
    <row r="57" spans="3:14" x14ac:dyDescent="0.15">
      <c r="C57" s="15"/>
      <c r="D57" s="69"/>
      <c r="E57" s="69"/>
      <c r="F57" s="69"/>
      <c r="G57" s="69"/>
      <c r="H57" s="69"/>
      <c r="I57" s="69"/>
      <c r="J57" s="69"/>
      <c r="K57" s="69"/>
      <c r="L57" s="69"/>
      <c r="M57" s="15"/>
      <c r="N57" s="15"/>
    </row>
    <row r="58" spans="3:14" x14ac:dyDescent="0.15">
      <c r="C58" s="15"/>
      <c r="D58" s="69"/>
      <c r="E58" s="69"/>
      <c r="F58" s="69"/>
      <c r="G58" s="69"/>
      <c r="H58" s="69"/>
      <c r="I58" s="69"/>
      <c r="J58" s="69"/>
      <c r="K58" s="69"/>
      <c r="L58" s="69"/>
      <c r="M58" s="15"/>
      <c r="N58" s="15"/>
    </row>
    <row r="59" spans="3:14" x14ac:dyDescent="0.15">
      <c r="C59" s="15"/>
      <c r="D59" s="69"/>
      <c r="E59" s="69"/>
      <c r="F59" s="69"/>
      <c r="G59" s="69"/>
      <c r="H59" s="69"/>
      <c r="I59" s="69"/>
      <c r="J59" s="69"/>
      <c r="K59" s="69"/>
      <c r="L59" s="69"/>
      <c r="M59" s="15"/>
      <c r="N59" s="15"/>
    </row>
    <row r="60" spans="3:14" x14ac:dyDescent="0.15">
      <c r="C60" s="15"/>
      <c r="D60" s="69"/>
      <c r="E60" s="69"/>
      <c r="F60" s="69"/>
      <c r="G60" s="69"/>
      <c r="H60" s="69"/>
      <c r="I60" s="69"/>
      <c r="J60" s="69"/>
      <c r="K60" s="69"/>
      <c r="L60" s="69"/>
      <c r="M60" s="15"/>
      <c r="N60" s="15"/>
    </row>
    <row r="61" spans="3:14" x14ac:dyDescent="0.15">
      <c r="C61" s="15"/>
      <c r="D61" s="69"/>
      <c r="E61" s="69"/>
      <c r="F61" s="69"/>
      <c r="G61" s="69"/>
      <c r="H61" s="69"/>
      <c r="I61" s="69"/>
      <c r="J61" s="69"/>
      <c r="K61" s="69"/>
      <c r="L61" s="69"/>
      <c r="M61" s="15"/>
      <c r="N61" s="15"/>
    </row>
  </sheetData>
  <sheetProtection selectLockedCells="1" selectUnlockedCells="1"/>
  <mergeCells count="1">
    <mergeCell ref="A18:H18"/>
  </mergeCells>
  <pageMargins left="0.7" right="0.7" top="0.75" bottom="0.75" header="0.3" footer="0.3"/>
  <pageSetup orientation="portrait" horizontalDpi="4294967293" verticalDpi="429496729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workbookViewId="0">
      <selection activeCell="L24" sqref="L24"/>
    </sheetView>
  </sheetViews>
  <sheetFormatPr baseColWidth="10" defaultRowHeight="16" x14ac:dyDescent="0.2"/>
  <cols>
    <col min="1" max="1" width="35.1640625" style="162" bestFit="1" customWidth="1"/>
    <col min="2" max="2" width="10.83203125" style="162"/>
    <col min="3" max="3" width="40.1640625" style="162" bestFit="1" customWidth="1"/>
    <col min="4" max="16384" width="10.83203125" style="162"/>
  </cols>
  <sheetData>
    <row r="1" spans="1:11" x14ac:dyDescent="0.2">
      <c r="A1" s="162" t="s">
        <v>149</v>
      </c>
      <c r="B1" s="162" t="s">
        <v>29</v>
      </c>
      <c r="C1" s="162" t="s">
        <v>150</v>
      </c>
      <c r="D1" s="162" t="s">
        <v>151</v>
      </c>
      <c r="E1" s="162" t="s">
        <v>152</v>
      </c>
    </row>
    <row r="2" spans="1:11" x14ac:dyDescent="0.2">
      <c r="A2" s="162" t="s">
        <v>137</v>
      </c>
      <c r="B2" s="162">
        <v>4</v>
      </c>
      <c r="C2" s="162" t="str">
        <f>A2&amp;B2</f>
        <v>CP11TT 20° Flat Fan4</v>
      </c>
      <c r="D2" s="162">
        <v>6.6360000000000002E-2</v>
      </c>
      <c r="E2" s="162">
        <v>0.48842999999999998</v>
      </c>
    </row>
    <row r="3" spans="1:11" x14ac:dyDescent="0.2">
      <c r="A3" s="162" t="s">
        <v>137</v>
      </c>
      <c r="B3" s="162">
        <v>6</v>
      </c>
      <c r="C3" s="162" t="str">
        <f t="shared" ref="C3:C66" si="0">A3&amp;B3</f>
        <v>CP11TT 20° Flat Fan6</v>
      </c>
      <c r="D3" s="162">
        <v>9.5000000000000001E-2</v>
      </c>
      <c r="E3" s="162">
        <v>0.49869999999999998</v>
      </c>
    </row>
    <row r="4" spans="1:11" x14ac:dyDescent="0.2">
      <c r="A4" s="162" t="s">
        <v>137</v>
      </c>
      <c r="B4" s="162">
        <v>8</v>
      </c>
      <c r="C4" s="162" t="str">
        <f t="shared" si="0"/>
        <v>CP11TT 20° Flat Fan8</v>
      </c>
      <c r="D4" s="162">
        <v>0.124635</v>
      </c>
      <c r="E4" s="162">
        <v>0.50334000000000001</v>
      </c>
    </row>
    <row r="5" spans="1:11" x14ac:dyDescent="0.2">
      <c r="A5" s="162" t="s">
        <v>137</v>
      </c>
      <c r="B5" s="162">
        <v>10</v>
      </c>
      <c r="C5" s="162" t="str">
        <f t="shared" si="0"/>
        <v>CP11TT 20° Flat Fan10</v>
      </c>
      <c r="D5" s="162">
        <v>0.14959</v>
      </c>
      <c r="E5" s="162">
        <v>0.51898</v>
      </c>
    </row>
    <row r="6" spans="1:11" x14ac:dyDescent="0.2">
      <c r="A6" s="162" t="s">
        <v>137</v>
      </c>
      <c r="B6" s="162">
        <v>12</v>
      </c>
      <c r="C6" s="162" t="str">
        <f t="shared" si="0"/>
        <v>CP11TT 20° Flat Fan12</v>
      </c>
      <c r="D6" s="162">
        <v>0.179398</v>
      </c>
      <c r="E6" s="162">
        <v>0.51883800000000002</v>
      </c>
    </row>
    <row r="7" spans="1:11" x14ac:dyDescent="0.2">
      <c r="A7" s="162" t="s">
        <v>137</v>
      </c>
      <c r="B7" s="162">
        <v>15</v>
      </c>
      <c r="C7" s="162" t="str">
        <f t="shared" si="0"/>
        <v>CP11TT 20° Flat Fan15</v>
      </c>
      <c r="D7" s="162">
        <v>0.23569000000000001</v>
      </c>
      <c r="E7" s="162">
        <v>0.50192999999999999</v>
      </c>
    </row>
    <row r="8" spans="1:11" x14ac:dyDescent="0.2">
      <c r="A8" s="162" t="s">
        <v>137</v>
      </c>
      <c r="B8" s="162">
        <v>20</v>
      </c>
      <c r="C8" s="162" t="str">
        <f t="shared" si="0"/>
        <v>CP11TT 20° Flat Fan20</v>
      </c>
      <c r="D8" s="162">
        <v>0.31352999999999998</v>
      </c>
      <c r="E8" s="162">
        <v>0.50233000000000005</v>
      </c>
    </row>
    <row r="9" spans="1:11" x14ac:dyDescent="0.2">
      <c r="A9" s="162" t="s">
        <v>91</v>
      </c>
      <c r="B9" s="162">
        <v>4</v>
      </c>
      <c r="C9" s="162" t="str">
        <f t="shared" si="0"/>
        <v>CP11TT 40° Flat Fan4</v>
      </c>
      <c r="D9" s="162">
        <v>6.6360000000000002E-2</v>
      </c>
      <c r="E9" s="162">
        <v>0.48842999999999998</v>
      </c>
    </row>
    <row r="10" spans="1:11" x14ac:dyDescent="0.2">
      <c r="A10" s="162" t="s">
        <v>91</v>
      </c>
      <c r="B10" s="162">
        <v>6</v>
      </c>
      <c r="C10" s="162" t="str">
        <f t="shared" si="0"/>
        <v>CP11TT 40° Flat Fan6</v>
      </c>
      <c r="D10" s="162">
        <v>9.5000000000000001E-2</v>
      </c>
      <c r="E10" s="162">
        <v>0.49869999999999998</v>
      </c>
    </row>
    <row r="11" spans="1:11" x14ac:dyDescent="0.2">
      <c r="A11" s="162" t="s">
        <v>91</v>
      </c>
      <c r="B11" s="162">
        <v>8</v>
      </c>
      <c r="C11" s="162" t="str">
        <f t="shared" si="0"/>
        <v>CP11TT 40° Flat Fan8</v>
      </c>
      <c r="D11" s="162">
        <v>0.124635</v>
      </c>
      <c r="E11" s="162">
        <v>0.50334000000000001</v>
      </c>
    </row>
    <row r="12" spans="1:11" x14ac:dyDescent="0.2">
      <c r="A12" s="162" t="s">
        <v>91</v>
      </c>
      <c r="B12" s="162">
        <v>10</v>
      </c>
      <c r="C12" s="162" t="str">
        <f t="shared" si="0"/>
        <v>CP11TT 40° Flat Fan10</v>
      </c>
      <c r="D12" s="162">
        <v>0.14959</v>
      </c>
      <c r="E12" s="162">
        <v>0.51898</v>
      </c>
    </row>
    <row r="13" spans="1:11" x14ac:dyDescent="0.2">
      <c r="A13" s="162" t="s">
        <v>91</v>
      </c>
      <c r="B13" s="162">
        <v>12</v>
      </c>
      <c r="C13" s="162" t="str">
        <f t="shared" si="0"/>
        <v>CP11TT 40° Flat Fan12</v>
      </c>
      <c r="D13" s="162">
        <v>0.179398</v>
      </c>
      <c r="E13" s="162">
        <v>0.51883800000000002</v>
      </c>
    </row>
    <row r="14" spans="1:11" x14ac:dyDescent="0.2">
      <c r="A14" s="162" t="s">
        <v>91</v>
      </c>
      <c r="B14" s="162">
        <v>15</v>
      </c>
      <c r="C14" s="162" t="str">
        <f t="shared" si="0"/>
        <v>CP11TT 40° Flat Fan15</v>
      </c>
      <c r="D14" s="162">
        <v>0.23569000000000001</v>
      </c>
      <c r="E14" s="162">
        <v>0.50192999999999999</v>
      </c>
      <c r="J14" s="162" t="s">
        <v>167</v>
      </c>
      <c r="K14" s="162" t="str">
        <f>'Atomization Model'!G6</f>
        <v>CP11TT 20° Flat Fan</v>
      </c>
    </row>
    <row r="15" spans="1:11" x14ac:dyDescent="0.2">
      <c r="A15" s="162" t="s">
        <v>91</v>
      </c>
      <c r="B15" s="162">
        <v>20</v>
      </c>
      <c r="C15" s="162" t="str">
        <f t="shared" si="0"/>
        <v>CP11TT 40° Flat Fan20</v>
      </c>
      <c r="D15" s="162">
        <v>0.31352999999999998</v>
      </c>
      <c r="E15" s="162">
        <v>0.50233000000000005</v>
      </c>
      <c r="J15" s="162" t="s">
        <v>29</v>
      </c>
      <c r="K15" s="162">
        <f>'Atomization Model'!F16</f>
        <v>15</v>
      </c>
    </row>
    <row r="16" spans="1:11" x14ac:dyDescent="0.2">
      <c r="A16" s="162" t="s">
        <v>91</v>
      </c>
      <c r="B16" s="162">
        <v>25</v>
      </c>
      <c r="C16" s="162" t="str">
        <f t="shared" si="0"/>
        <v>CP11TT 40° Flat Fan25</v>
      </c>
      <c r="D16" s="162">
        <v>0.37908999999999998</v>
      </c>
      <c r="E16" s="162">
        <v>0.51492000000000004</v>
      </c>
      <c r="J16" s="162" t="s">
        <v>150</v>
      </c>
      <c r="K16" s="162" t="str">
        <f>K14&amp;K15</f>
        <v>CP11TT 20° Flat Fan15</v>
      </c>
    </row>
    <row r="17" spans="1:15" x14ac:dyDescent="0.2">
      <c r="A17" s="162" t="s">
        <v>91</v>
      </c>
      <c r="B17" s="162">
        <v>30</v>
      </c>
      <c r="C17" s="162" t="str">
        <f t="shared" si="0"/>
        <v>CP11TT 40° Flat Fan30</v>
      </c>
      <c r="D17" s="162">
        <v>0.45290000000000002</v>
      </c>
      <c r="E17" s="162">
        <v>0.51598999999999995</v>
      </c>
    </row>
    <row r="18" spans="1:15" x14ac:dyDescent="0.2">
      <c r="A18" s="162" t="s">
        <v>89</v>
      </c>
      <c r="B18" s="162">
        <v>2</v>
      </c>
      <c r="C18" s="162" t="str">
        <f t="shared" si="0"/>
        <v>CP11TT 80° Flat Fan2</v>
      </c>
      <c r="D18" s="162">
        <v>3.2629999999999999E-2</v>
      </c>
      <c r="E18" s="162">
        <v>0.48809999999999998</v>
      </c>
      <c r="K18" s="162">
        <f>VLOOKUP(K16,NFRTab,2,FALSE)</f>
        <v>0.23569000000000001</v>
      </c>
      <c r="L18" s="162">
        <f>VLOOKUP(K16,NFRTab,3,FALSE)</f>
        <v>0.50192999999999999</v>
      </c>
    </row>
    <row r="19" spans="1:15" x14ac:dyDescent="0.2">
      <c r="A19" s="162" t="s">
        <v>89</v>
      </c>
      <c r="B19" s="162">
        <v>3</v>
      </c>
      <c r="C19" s="162" t="str">
        <f t="shared" si="0"/>
        <v>CP11TT 80° Flat Fan3</v>
      </c>
      <c r="D19" s="162">
        <v>4.5289999999999997E-2</v>
      </c>
      <c r="E19" s="162">
        <v>0.51365000000000005</v>
      </c>
    </row>
    <row r="20" spans="1:15" x14ac:dyDescent="0.2">
      <c r="A20" s="162" t="s">
        <v>89</v>
      </c>
      <c r="B20" s="162">
        <v>4</v>
      </c>
      <c r="C20" s="162" t="str">
        <f t="shared" si="0"/>
        <v>CP11TT 80° Flat Fan4</v>
      </c>
      <c r="D20" s="162">
        <v>6.6360000000000002E-2</v>
      </c>
      <c r="E20" s="162">
        <v>0.48842999999999998</v>
      </c>
      <c r="K20" s="162" t="s">
        <v>168</v>
      </c>
      <c r="L20" s="162">
        <f>K18*L21^L18</f>
        <v>1.2994292180645721</v>
      </c>
      <c r="N20" s="162" t="s">
        <v>170</v>
      </c>
      <c r="O20" s="162">
        <f>'Atomization Model'!D37</f>
        <v>50</v>
      </c>
    </row>
    <row r="21" spans="1:15" x14ac:dyDescent="0.2">
      <c r="A21" s="162" t="s">
        <v>89</v>
      </c>
      <c r="B21" s="162">
        <v>5</v>
      </c>
      <c r="C21" s="162" t="str">
        <f t="shared" si="0"/>
        <v>CP11TT 80° Flat Fan5</v>
      </c>
      <c r="D21" s="162">
        <v>7.7842999999999996E-2</v>
      </c>
      <c r="E21" s="162">
        <v>0.50351999999999997</v>
      </c>
      <c r="K21" s="162" t="s">
        <v>37</v>
      </c>
      <c r="L21" s="162">
        <f>'Atomization Model'!M16</f>
        <v>30</v>
      </c>
      <c r="N21" s="162" t="s">
        <v>171</v>
      </c>
      <c r="O21" s="162">
        <f>'Atomization Model'!D36</f>
        <v>5</v>
      </c>
    </row>
    <row r="22" spans="1:15" x14ac:dyDescent="0.2">
      <c r="A22" s="162" t="s">
        <v>89</v>
      </c>
      <c r="B22" s="162">
        <v>6</v>
      </c>
      <c r="C22" s="162" t="str">
        <f t="shared" si="0"/>
        <v>CP11TT 80° Flat Fan6</v>
      </c>
      <c r="D22" s="162">
        <v>9.5000000000000001E-2</v>
      </c>
      <c r="E22" s="162">
        <v>0.49869999999999998</v>
      </c>
      <c r="K22" s="162" t="s">
        <v>54</v>
      </c>
      <c r="L22" s="162">
        <f>'Atomization Model'!P16</f>
        <v>120</v>
      </c>
    </row>
    <row r="23" spans="1:15" x14ac:dyDescent="0.2">
      <c r="A23" s="162" t="s">
        <v>89</v>
      </c>
      <c r="B23" s="162">
        <v>8</v>
      </c>
      <c r="C23" s="162" t="str">
        <f t="shared" si="0"/>
        <v>CP11TT 80° Flat Fan8</v>
      </c>
      <c r="D23" s="162">
        <v>0.124635</v>
      </c>
      <c r="E23" s="162">
        <v>0.50334000000000001</v>
      </c>
      <c r="K23" s="162" t="s">
        <v>169</v>
      </c>
      <c r="L23" s="162">
        <f>O21*L22*O20/495</f>
        <v>60.606060606060609</v>
      </c>
    </row>
    <row r="24" spans="1:15" x14ac:dyDescent="0.2">
      <c r="A24" s="162" t="s">
        <v>89</v>
      </c>
      <c r="B24" s="162">
        <v>10</v>
      </c>
      <c r="C24" s="162" t="str">
        <f t="shared" si="0"/>
        <v>CP11TT 80° Flat Fan10</v>
      </c>
      <c r="D24" s="162">
        <v>0.14959</v>
      </c>
      <c r="E24" s="162">
        <v>0.51898</v>
      </c>
    </row>
    <row r="25" spans="1:15" x14ac:dyDescent="0.2">
      <c r="A25" s="162" t="s">
        <v>89</v>
      </c>
      <c r="B25" s="162">
        <v>12</v>
      </c>
      <c r="C25" s="162" t="str">
        <f t="shared" si="0"/>
        <v>CP11TT 80° Flat Fan12</v>
      </c>
      <c r="D25" s="162">
        <v>0.179398</v>
      </c>
      <c r="E25" s="162">
        <v>0.51883800000000002</v>
      </c>
    </row>
    <row r="26" spans="1:15" x14ac:dyDescent="0.2">
      <c r="A26" s="162" t="s">
        <v>89</v>
      </c>
      <c r="B26" s="162">
        <v>15</v>
      </c>
      <c r="C26" s="162" t="str">
        <f t="shared" si="0"/>
        <v>CP11TT 80° Flat Fan15</v>
      </c>
      <c r="D26" s="162">
        <v>0.23569000000000001</v>
      </c>
      <c r="E26" s="162">
        <v>0.50192999999999999</v>
      </c>
    </row>
    <row r="27" spans="1:15" x14ac:dyDescent="0.2">
      <c r="A27" s="162" t="s">
        <v>89</v>
      </c>
      <c r="B27" s="162">
        <v>20</v>
      </c>
      <c r="C27" s="162" t="str">
        <f t="shared" si="0"/>
        <v>CP11TT 80° Flat Fan20</v>
      </c>
      <c r="D27" s="162">
        <v>0.31352999999999998</v>
      </c>
      <c r="E27" s="162">
        <v>0.50233000000000005</v>
      </c>
    </row>
    <row r="28" spans="1:15" x14ac:dyDescent="0.2">
      <c r="A28" s="162" t="s">
        <v>89</v>
      </c>
      <c r="B28" s="162">
        <v>25</v>
      </c>
      <c r="C28" s="162" t="str">
        <f t="shared" si="0"/>
        <v>CP11TT 80° Flat Fan25</v>
      </c>
      <c r="D28" s="162">
        <v>0.37908999999999998</v>
      </c>
      <c r="E28" s="162">
        <v>0.51492000000000004</v>
      </c>
    </row>
    <row r="29" spans="1:15" x14ac:dyDescent="0.2">
      <c r="A29" s="162" t="s">
        <v>89</v>
      </c>
      <c r="B29" s="162">
        <v>30</v>
      </c>
      <c r="C29" s="162" t="str">
        <f t="shared" si="0"/>
        <v>CP11TT 80° Flat Fan30</v>
      </c>
      <c r="D29" s="162">
        <v>0.45290000000000002</v>
      </c>
      <c r="E29" s="162">
        <v>0.51598999999999995</v>
      </c>
    </row>
    <row r="30" spans="1:15" x14ac:dyDescent="0.2">
      <c r="A30" s="162" t="s">
        <v>95</v>
      </c>
      <c r="B30" s="162">
        <v>6</v>
      </c>
      <c r="C30" s="162" t="str">
        <f t="shared" si="0"/>
        <v>CP11TT Straight Stream6</v>
      </c>
      <c r="D30" s="162">
        <v>9.5000000000000001E-2</v>
      </c>
      <c r="E30" s="162">
        <v>0.49869999999999998</v>
      </c>
    </row>
    <row r="31" spans="1:15" x14ac:dyDescent="0.2">
      <c r="A31" s="162" t="s">
        <v>95</v>
      </c>
      <c r="B31" s="162">
        <v>8</v>
      </c>
      <c r="C31" s="162" t="str">
        <f t="shared" si="0"/>
        <v>CP11TT Straight Stream8</v>
      </c>
      <c r="D31" s="162">
        <v>0.124635</v>
      </c>
      <c r="E31" s="162">
        <v>0.50334000000000001</v>
      </c>
    </row>
    <row r="32" spans="1:15" x14ac:dyDescent="0.2">
      <c r="A32" s="162" t="s">
        <v>95</v>
      </c>
      <c r="B32" s="162">
        <v>10</v>
      </c>
      <c r="C32" s="162" t="str">
        <f t="shared" si="0"/>
        <v>CP11TT Straight Stream10</v>
      </c>
      <c r="D32" s="162">
        <v>0.14959</v>
      </c>
      <c r="E32" s="162">
        <v>0.51898</v>
      </c>
    </row>
    <row r="33" spans="1:5" x14ac:dyDescent="0.2">
      <c r="A33" s="162" t="s">
        <v>95</v>
      </c>
      <c r="B33" s="162">
        <v>12</v>
      </c>
      <c r="C33" s="162" t="str">
        <f t="shared" si="0"/>
        <v>CP11TT Straight Stream12</v>
      </c>
      <c r="D33" s="162">
        <v>0.179398</v>
      </c>
      <c r="E33" s="162">
        <v>0.51883800000000002</v>
      </c>
    </row>
    <row r="34" spans="1:5" x14ac:dyDescent="0.2">
      <c r="A34" s="162" t="s">
        <v>95</v>
      </c>
      <c r="B34" s="162">
        <v>15</v>
      </c>
      <c r="C34" s="162" t="str">
        <f t="shared" si="0"/>
        <v>CP11TT Straight Stream15</v>
      </c>
      <c r="D34" s="162">
        <v>0.23569000000000001</v>
      </c>
      <c r="E34" s="162">
        <v>0.50192999999999999</v>
      </c>
    </row>
    <row r="35" spans="1:5" x14ac:dyDescent="0.2">
      <c r="A35" s="162" t="s">
        <v>95</v>
      </c>
      <c r="B35" s="162">
        <v>20</v>
      </c>
      <c r="C35" s="162" t="str">
        <f t="shared" si="0"/>
        <v>CP11TT Straight Stream20</v>
      </c>
      <c r="D35" s="162">
        <v>0.31352999999999998</v>
      </c>
      <c r="E35" s="162">
        <v>0.50233000000000005</v>
      </c>
    </row>
    <row r="36" spans="1:5" x14ac:dyDescent="0.2">
      <c r="A36" s="162" t="s">
        <v>95</v>
      </c>
      <c r="B36" s="162">
        <v>25</v>
      </c>
      <c r="C36" s="162" t="str">
        <f t="shared" si="0"/>
        <v>CP11TT Straight Stream25</v>
      </c>
      <c r="D36" s="162">
        <v>0.37908999999999998</v>
      </c>
      <c r="E36" s="162">
        <v>0.51492000000000004</v>
      </c>
    </row>
    <row r="37" spans="1:5" x14ac:dyDescent="0.2">
      <c r="A37" s="162" t="s">
        <v>119</v>
      </c>
      <c r="B37" s="162">
        <v>2</v>
      </c>
      <c r="C37" s="162" t="str">
        <f t="shared" si="0"/>
        <v>Standard 40° Flat Fan2</v>
      </c>
      <c r="D37" s="162">
        <v>2.9048999999999998E-2</v>
      </c>
      <c r="E37" s="162">
        <v>0.51908500000000002</v>
      </c>
    </row>
    <row r="38" spans="1:5" x14ac:dyDescent="0.2">
      <c r="A38" s="162" t="s">
        <v>119</v>
      </c>
      <c r="B38" s="162">
        <v>4</v>
      </c>
      <c r="C38" s="162" t="str">
        <f t="shared" si="0"/>
        <v>Standard 40° Flat Fan4</v>
      </c>
      <c r="D38" s="162">
        <v>6.5175999999999998E-2</v>
      </c>
      <c r="E38" s="162">
        <v>0.49385899999999999</v>
      </c>
    </row>
    <row r="39" spans="1:5" x14ac:dyDescent="0.2">
      <c r="A39" s="162" t="s">
        <v>119</v>
      </c>
      <c r="B39" s="162">
        <v>6</v>
      </c>
      <c r="C39" s="162" t="str">
        <f t="shared" si="0"/>
        <v>Standard 40° Flat Fan6</v>
      </c>
      <c r="D39" s="162">
        <v>9.3974000000000002E-2</v>
      </c>
      <c r="E39" s="162">
        <v>0.50217500000000004</v>
      </c>
    </row>
    <row r="40" spans="1:5" x14ac:dyDescent="0.2">
      <c r="A40" s="162" t="s">
        <v>119</v>
      </c>
      <c r="B40" s="162">
        <v>8</v>
      </c>
      <c r="C40" s="162" t="str">
        <f t="shared" si="0"/>
        <v>Standard 40° Flat Fan8</v>
      </c>
      <c r="D40" s="162">
        <v>0.118101</v>
      </c>
      <c r="E40" s="162">
        <v>0.5616622</v>
      </c>
    </row>
    <row r="41" spans="1:5" x14ac:dyDescent="0.2">
      <c r="A41" s="162" t="s">
        <v>119</v>
      </c>
      <c r="B41" s="162">
        <v>10</v>
      </c>
      <c r="C41" s="162" t="str">
        <f t="shared" si="0"/>
        <v>Standard 40° Flat Fan10</v>
      </c>
      <c r="D41" s="162">
        <v>0.15286</v>
      </c>
      <c r="E41" s="162">
        <v>0.50749599999999995</v>
      </c>
    </row>
    <row r="42" spans="1:5" x14ac:dyDescent="0.2">
      <c r="A42" s="162" t="s">
        <v>119</v>
      </c>
      <c r="B42" s="162">
        <v>12</v>
      </c>
      <c r="C42" s="162" t="str">
        <f t="shared" si="0"/>
        <v>Standard 40° Flat Fan12</v>
      </c>
      <c r="D42" s="162">
        <v>0.17675399999999999</v>
      </c>
      <c r="E42" s="162">
        <v>0.51710999999999996</v>
      </c>
    </row>
    <row r="43" spans="1:5" x14ac:dyDescent="0.2">
      <c r="A43" s="162" t="s">
        <v>119</v>
      </c>
      <c r="B43" s="162">
        <v>15</v>
      </c>
      <c r="C43" s="162" t="str">
        <f t="shared" si="0"/>
        <v>Standard 40° Flat Fan15</v>
      </c>
      <c r="D43" s="162">
        <v>0.22733999999999999</v>
      </c>
      <c r="E43" s="162">
        <v>0.50942699999999996</v>
      </c>
    </row>
    <row r="44" spans="1:5" x14ac:dyDescent="0.2">
      <c r="A44" s="162" t="s">
        <v>119</v>
      </c>
      <c r="B44" s="162">
        <v>20</v>
      </c>
      <c r="C44" s="162" t="str">
        <f t="shared" si="0"/>
        <v>Standard 40° Flat Fan20</v>
      </c>
      <c r="D44" s="162">
        <v>0.29049000000000003</v>
      </c>
      <c r="E44" s="162">
        <v>0.51908500000000002</v>
      </c>
    </row>
    <row r="45" spans="1:5" x14ac:dyDescent="0.2">
      <c r="A45" s="162" t="s">
        <v>119</v>
      </c>
      <c r="B45" s="162">
        <v>30</v>
      </c>
      <c r="C45" s="162" t="str">
        <f t="shared" si="0"/>
        <v>Standard 40° Flat Fan30</v>
      </c>
      <c r="D45" s="162">
        <v>0.49563000000000001</v>
      </c>
      <c r="E45" s="162">
        <v>0.48860300000000001</v>
      </c>
    </row>
    <row r="46" spans="1:5" x14ac:dyDescent="0.2">
      <c r="A46" s="162" t="s">
        <v>120</v>
      </c>
      <c r="B46" s="162">
        <v>2</v>
      </c>
      <c r="C46" s="162" t="str">
        <f t="shared" si="0"/>
        <v>Standard 80° Flat Fan2</v>
      </c>
      <c r="D46" s="162">
        <v>2.9048999999999998E-2</v>
      </c>
      <c r="E46" s="162">
        <v>0.51908500000000002</v>
      </c>
    </row>
    <row r="47" spans="1:5" x14ac:dyDescent="0.2">
      <c r="A47" s="162" t="s">
        <v>120</v>
      </c>
      <c r="B47" s="162">
        <v>4</v>
      </c>
      <c r="C47" s="162" t="str">
        <f t="shared" si="0"/>
        <v>Standard 80° Flat Fan4</v>
      </c>
      <c r="D47" s="162">
        <v>6.5175999999999998E-2</v>
      </c>
      <c r="E47" s="162">
        <v>0.49385899999999999</v>
      </c>
    </row>
    <row r="48" spans="1:5" x14ac:dyDescent="0.2">
      <c r="A48" s="162" t="s">
        <v>120</v>
      </c>
      <c r="B48" s="162">
        <v>6</v>
      </c>
      <c r="C48" s="162" t="str">
        <f t="shared" si="0"/>
        <v>Standard 80° Flat Fan6</v>
      </c>
      <c r="D48" s="162">
        <v>9.3974000000000002E-2</v>
      </c>
      <c r="E48" s="162">
        <v>0.50217500000000004</v>
      </c>
    </row>
    <row r="49" spans="1:5" x14ac:dyDescent="0.2">
      <c r="A49" s="162" t="s">
        <v>120</v>
      </c>
      <c r="B49" s="162">
        <v>8</v>
      </c>
      <c r="C49" s="162" t="str">
        <f t="shared" si="0"/>
        <v>Standard 80° Flat Fan8</v>
      </c>
      <c r="D49" s="162">
        <v>0.118101</v>
      </c>
      <c r="E49" s="162">
        <v>0.5616622</v>
      </c>
    </row>
    <row r="50" spans="1:5" x14ac:dyDescent="0.2">
      <c r="A50" s="162" t="s">
        <v>120</v>
      </c>
      <c r="B50" s="162">
        <v>10</v>
      </c>
      <c r="C50" s="162" t="str">
        <f t="shared" si="0"/>
        <v>Standard 80° Flat Fan10</v>
      </c>
      <c r="D50" s="162">
        <v>0.15286</v>
      </c>
      <c r="E50" s="162">
        <v>0.50749599999999995</v>
      </c>
    </row>
    <row r="51" spans="1:5" x14ac:dyDescent="0.2">
      <c r="A51" s="162" t="s">
        <v>120</v>
      </c>
      <c r="B51" s="162">
        <v>12</v>
      </c>
      <c r="C51" s="162" t="str">
        <f t="shared" si="0"/>
        <v>Standard 80° Flat Fan12</v>
      </c>
      <c r="D51" s="162">
        <v>0.17675399999999999</v>
      </c>
      <c r="E51" s="162">
        <v>0.51710999999999996</v>
      </c>
    </row>
    <row r="52" spans="1:5" x14ac:dyDescent="0.2">
      <c r="A52" s="162" t="s">
        <v>120</v>
      </c>
      <c r="B52" s="162">
        <v>15</v>
      </c>
      <c r="C52" s="162" t="str">
        <f t="shared" si="0"/>
        <v>Standard 80° Flat Fan15</v>
      </c>
      <c r="D52" s="162">
        <v>0.22733999999999999</v>
      </c>
      <c r="E52" s="162">
        <v>0.50942699999999996</v>
      </c>
    </row>
    <row r="53" spans="1:5" x14ac:dyDescent="0.2">
      <c r="A53" s="162" t="s">
        <v>120</v>
      </c>
      <c r="B53" s="162">
        <v>20</v>
      </c>
      <c r="C53" s="162" t="str">
        <f t="shared" si="0"/>
        <v>Standard 80° Flat Fan20</v>
      </c>
      <c r="D53" s="162">
        <v>0.29049000000000003</v>
      </c>
      <c r="E53" s="162">
        <v>0.51908500000000002</v>
      </c>
    </row>
    <row r="54" spans="1:5" x14ac:dyDescent="0.2">
      <c r="A54" s="162" t="s">
        <v>120</v>
      </c>
      <c r="B54" s="162">
        <v>30</v>
      </c>
      <c r="C54" s="162" t="str">
        <f t="shared" si="0"/>
        <v>Standard 80° Flat Fan30</v>
      </c>
      <c r="D54" s="162">
        <v>0.49563000000000001</v>
      </c>
      <c r="E54" s="162">
        <v>0.48860300000000001</v>
      </c>
    </row>
    <row r="55" spans="1:5" x14ac:dyDescent="0.2">
      <c r="A55" s="162" t="s">
        <v>121</v>
      </c>
      <c r="B55" s="162">
        <v>2</v>
      </c>
      <c r="C55" s="162" t="str">
        <f t="shared" si="0"/>
        <v>Steel Disc Core Straight Stream2</v>
      </c>
      <c r="D55" s="162">
        <v>1.942E-2</v>
      </c>
      <c r="E55" s="162">
        <v>0.63424999999999998</v>
      </c>
    </row>
    <row r="56" spans="1:5" x14ac:dyDescent="0.2">
      <c r="A56" s="162" t="s">
        <v>121</v>
      </c>
      <c r="B56" s="162">
        <v>3</v>
      </c>
      <c r="C56" s="162" t="str">
        <f t="shared" si="0"/>
        <v>Steel Disc Core Straight Stream3</v>
      </c>
      <c r="D56" s="162">
        <v>3.4320000000000003E-2</v>
      </c>
      <c r="E56" s="162">
        <v>0.55706</v>
      </c>
    </row>
    <row r="57" spans="1:5" x14ac:dyDescent="0.2">
      <c r="A57" s="162" t="s">
        <v>121</v>
      </c>
      <c r="B57" s="162">
        <v>4</v>
      </c>
      <c r="C57" s="162" t="str">
        <f t="shared" si="0"/>
        <v>Steel Disc Core Straight Stream4</v>
      </c>
      <c r="D57" s="162">
        <v>6.4280000000000004E-2</v>
      </c>
      <c r="E57" s="162">
        <v>0.52880000000000005</v>
      </c>
    </row>
    <row r="58" spans="1:5" x14ac:dyDescent="0.2">
      <c r="A58" s="162" t="s">
        <v>121</v>
      </c>
      <c r="B58" s="162">
        <v>5</v>
      </c>
      <c r="C58" s="162" t="str">
        <f t="shared" si="0"/>
        <v>Steel Disc Core Straight Stream5</v>
      </c>
      <c r="D58" s="162">
        <v>0.11855</v>
      </c>
      <c r="E58" s="162">
        <v>0.49620999999999998</v>
      </c>
    </row>
    <row r="59" spans="1:5" x14ac:dyDescent="0.2">
      <c r="A59" s="162" t="s">
        <v>121</v>
      </c>
      <c r="B59" s="162">
        <v>6</v>
      </c>
      <c r="C59" s="162" t="str">
        <f t="shared" si="0"/>
        <v>Steel Disc Core Straight Stream6</v>
      </c>
      <c r="D59" s="162">
        <v>0.2</v>
      </c>
      <c r="E59" s="162">
        <v>0.44944000000000001</v>
      </c>
    </row>
    <row r="60" spans="1:5" x14ac:dyDescent="0.2">
      <c r="A60" s="162" t="s">
        <v>121</v>
      </c>
      <c r="B60" s="162">
        <v>7</v>
      </c>
      <c r="C60" s="162" t="str">
        <f t="shared" si="0"/>
        <v>Steel Disc Core Straight Stream7</v>
      </c>
      <c r="D60" s="162">
        <v>0.22658</v>
      </c>
      <c r="E60" s="162">
        <v>0.49503799999999998</v>
      </c>
    </row>
    <row r="61" spans="1:5" x14ac:dyDescent="0.2">
      <c r="A61" s="162" t="s">
        <v>121</v>
      </c>
      <c r="B61" s="162">
        <v>8</v>
      </c>
      <c r="C61" s="162" t="str">
        <f t="shared" si="0"/>
        <v>Steel Disc Core Straight Stream8</v>
      </c>
      <c r="D61" s="162">
        <v>0.35376000000000002</v>
      </c>
      <c r="E61" s="162">
        <v>0.44996999999999998</v>
      </c>
    </row>
    <row r="62" spans="1:5" x14ac:dyDescent="0.2">
      <c r="A62" s="162" t="s">
        <v>121</v>
      </c>
      <c r="B62" s="162">
        <v>10</v>
      </c>
      <c r="C62" s="162" t="str">
        <f t="shared" si="0"/>
        <v>Steel Disc Core Straight Stream10</v>
      </c>
      <c r="D62" s="162">
        <v>0.47805999999999998</v>
      </c>
      <c r="E62" s="162">
        <v>0.47081000000000001</v>
      </c>
    </row>
    <row r="63" spans="1:5" x14ac:dyDescent="0.2">
      <c r="A63" s="162" t="s">
        <v>121</v>
      </c>
      <c r="B63" s="162">
        <v>12</v>
      </c>
      <c r="C63" s="162" t="str">
        <f t="shared" si="0"/>
        <v>Steel Disc Core Straight Stream12</v>
      </c>
      <c r="D63" s="162">
        <v>0.56108000000000002</v>
      </c>
      <c r="E63" s="162">
        <v>0.49034</v>
      </c>
    </row>
    <row r="64" spans="1:5" x14ac:dyDescent="0.2">
      <c r="A64" s="162" t="s">
        <v>122</v>
      </c>
      <c r="B64" s="162">
        <v>2</v>
      </c>
      <c r="C64" s="162" t="str">
        <f t="shared" si="0"/>
        <v>Ceramic Disc Core Straight Stream2</v>
      </c>
      <c r="D64" s="162">
        <v>1.942E-2</v>
      </c>
      <c r="E64" s="162">
        <v>0.63424999999999998</v>
      </c>
    </row>
    <row r="65" spans="1:5" x14ac:dyDescent="0.2">
      <c r="A65" s="162" t="s">
        <v>122</v>
      </c>
      <c r="B65" s="162">
        <v>4</v>
      </c>
      <c r="C65" s="162" t="str">
        <f t="shared" si="0"/>
        <v>Ceramic Disc Core Straight Stream4</v>
      </c>
      <c r="D65" s="162">
        <v>6.4280000000000004E-2</v>
      </c>
      <c r="E65" s="162">
        <v>0.52880000000000005</v>
      </c>
    </row>
    <row r="66" spans="1:5" x14ac:dyDescent="0.2">
      <c r="A66" s="162" t="s">
        <v>122</v>
      </c>
      <c r="B66" s="162">
        <v>6</v>
      </c>
      <c r="C66" s="162" t="str">
        <f t="shared" si="0"/>
        <v>Ceramic Disc Core Straight Stream6</v>
      </c>
      <c r="D66" s="162">
        <v>0.2</v>
      </c>
      <c r="E66" s="162">
        <v>0.44944000000000001</v>
      </c>
    </row>
    <row r="67" spans="1:5" x14ac:dyDescent="0.2">
      <c r="A67" s="162" t="s">
        <v>122</v>
      </c>
      <c r="B67" s="162">
        <v>8</v>
      </c>
      <c r="C67" s="162" t="str">
        <f t="shared" ref="C67:C102" si="1">A67&amp;B67</f>
        <v>Ceramic Disc Core Straight Stream8</v>
      </c>
      <c r="D67" s="162">
        <v>0.35376000000000002</v>
      </c>
      <c r="E67" s="162">
        <v>0.44996999999999998</v>
      </c>
    </row>
    <row r="68" spans="1:5" x14ac:dyDescent="0.2">
      <c r="A68" s="162" t="s">
        <v>122</v>
      </c>
      <c r="B68" s="162">
        <v>10</v>
      </c>
      <c r="C68" s="162" t="str">
        <f t="shared" si="1"/>
        <v>Ceramic Disc Core Straight Stream10</v>
      </c>
      <c r="D68" s="162">
        <v>0.47805999999999998</v>
      </c>
      <c r="E68" s="162">
        <v>0.47081000000000001</v>
      </c>
    </row>
    <row r="69" spans="1:5" x14ac:dyDescent="0.2">
      <c r="A69" s="162" t="s">
        <v>127</v>
      </c>
      <c r="B69" s="162">
        <v>6.2E-2</v>
      </c>
      <c r="C69" s="162" t="str">
        <f t="shared" si="1"/>
        <v>CP09 Deflection Angles Only0.062</v>
      </c>
      <c r="D69" s="162">
        <v>6.7930000000000004E-3</v>
      </c>
      <c r="E69" s="162">
        <v>0.57869700000000002</v>
      </c>
    </row>
    <row r="70" spans="1:5" x14ac:dyDescent="0.2">
      <c r="A70" s="162" t="s">
        <v>127</v>
      </c>
      <c r="B70" s="162">
        <v>7.8E-2</v>
      </c>
      <c r="C70" s="162" t="str">
        <f t="shared" si="1"/>
        <v>CP09 Deflection Angles Only0.078</v>
      </c>
      <c r="D70" s="162">
        <v>0.15414</v>
      </c>
      <c r="E70" s="162">
        <v>0.49787999999999999</v>
      </c>
    </row>
    <row r="71" spans="1:5" x14ac:dyDescent="0.2">
      <c r="A71" s="162" t="s">
        <v>127</v>
      </c>
      <c r="B71" s="162">
        <v>0.125</v>
      </c>
      <c r="C71" s="162" t="str">
        <f t="shared" si="1"/>
        <v>CP09 Deflection Angles Only0.125</v>
      </c>
      <c r="D71" s="162">
        <v>0.38874999999999998</v>
      </c>
      <c r="E71" s="162">
        <v>0.51605500000000004</v>
      </c>
    </row>
    <row r="72" spans="1:5" x14ac:dyDescent="0.2">
      <c r="A72" s="162" t="s">
        <v>127</v>
      </c>
      <c r="B72" s="162">
        <v>0.17199999999999999</v>
      </c>
      <c r="C72" s="162" t="str">
        <f t="shared" si="1"/>
        <v>CP09 Deflection Angles Only0.172</v>
      </c>
      <c r="D72" s="162">
        <v>0.80813100000000004</v>
      </c>
      <c r="E72" s="162">
        <v>0.46081100000000003</v>
      </c>
    </row>
    <row r="73" spans="1:5" x14ac:dyDescent="0.2">
      <c r="A73" s="162" t="s">
        <v>128</v>
      </c>
      <c r="B73" s="162">
        <v>6.2E-2</v>
      </c>
      <c r="C73" s="162" t="str">
        <f t="shared" si="1"/>
        <v>Davidon TriSet Deflection Angles Only0.062</v>
      </c>
      <c r="D73" s="162">
        <v>0.107668</v>
      </c>
      <c r="E73" s="162">
        <v>0.49492700000000001</v>
      </c>
    </row>
    <row r="74" spans="1:5" x14ac:dyDescent="0.2">
      <c r="A74" s="162" t="s">
        <v>128</v>
      </c>
      <c r="B74" s="162">
        <v>7.8E-2</v>
      </c>
      <c r="C74" s="162" t="str">
        <f t="shared" si="1"/>
        <v>Davidon TriSet Deflection Angles Only0.078</v>
      </c>
      <c r="D74" s="162">
        <v>0.171653</v>
      </c>
      <c r="E74" s="162">
        <v>0.48879899999999998</v>
      </c>
    </row>
    <row r="75" spans="1:5" x14ac:dyDescent="0.2">
      <c r="A75" s="162" t="s">
        <v>128</v>
      </c>
      <c r="B75" s="162">
        <v>0.125</v>
      </c>
      <c r="C75" s="162" t="str">
        <f t="shared" si="1"/>
        <v>Davidon TriSet Deflection Angles Only0.125</v>
      </c>
      <c r="D75" s="162">
        <v>0.38169900000000001</v>
      </c>
      <c r="E75" s="162">
        <v>0.50012299999999998</v>
      </c>
    </row>
    <row r="76" spans="1:5" x14ac:dyDescent="0.2">
      <c r="A76" s="162" t="s">
        <v>90</v>
      </c>
      <c r="B76" s="162">
        <v>6.2E-2</v>
      </c>
      <c r="C76" s="162" t="str">
        <f t="shared" si="1"/>
        <v>CP030.062</v>
      </c>
      <c r="D76" s="162">
        <v>6.7930000000000004E-3</v>
      </c>
      <c r="E76" s="162">
        <v>0.57869700000000002</v>
      </c>
    </row>
    <row r="77" spans="1:5" x14ac:dyDescent="0.2">
      <c r="A77" s="162" t="s">
        <v>90</v>
      </c>
      <c r="B77" s="162">
        <v>7.8E-2</v>
      </c>
      <c r="C77" s="162" t="str">
        <f t="shared" si="1"/>
        <v>CP030.078</v>
      </c>
      <c r="D77" s="162">
        <v>0.15414</v>
      </c>
      <c r="E77" s="162">
        <v>0.49787999999999999</v>
      </c>
    </row>
    <row r="78" spans="1:5" x14ac:dyDescent="0.2">
      <c r="A78" s="162" t="s">
        <v>90</v>
      </c>
      <c r="B78" s="162">
        <v>0.125</v>
      </c>
      <c r="C78" s="162" t="str">
        <f t="shared" si="1"/>
        <v>CP030.125</v>
      </c>
      <c r="D78" s="162">
        <v>0.38874999999999998</v>
      </c>
      <c r="E78" s="162">
        <v>0.51605500000000004</v>
      </c>
    </row>
    <row r="79" spans="1:5" x14ac:dyDescent="0.2">
      <c r="A79" s="162" t="s">
        <v>90</v>
      </c>
      <c r="B79" s="162">
        <v>0.17199999999999999</v>
      </c>
      <c r="C79" s="162" t="str">
        <f t="shared" si="1"/>
        <v>CP030.172</v>
      </c>
      <c r="D79" s="162">
        <v>0.80813100000000004</v>
      </c>
      <c r="E79" s="162">
        <v>0.46081100000000003</v>
      </c>
    </row>
    <row r="80" spans="1:5" x14ac:dyDescent="0.2">
      <c r="A80" s="162" t="s">
        <v>92</v>
      </c>
      <c r="B80" s="162">
        <v>2</v>
      </c>
      <c r="C80" s="162" t="str">
        <f t="shared" si="1"/>
        <v>Steel Disc Core 452</v>
      </c>
      <c r="D80" s="162">
        <v>3.4075000000000001E-2</v>
      </c>
      <c r="E80" s="162">
        <v>0.48441000000000001</v>
      </c>
    </row>
    <row r="81" spans="1:5" x14ac:dyDescent="0.2">
      <c r="A81" s="162" t="s">
        <v>153</v>
      </c>
      <c r="B81" s="162">
        <v>4</v>
      </c>
      <c r="C81" s="162" t="str">
        <f t="shared" si="1"/>
        <v>Steel Disc Core 464</v>
      </c>
      <c r="D81" s="162">
        <v>5.8841999999999998E-2</v>
      </c>
      <c r="E81" s="162">
        <v>0.48848999999999998</v>
      </c>
    </row>
    <row r="82" spans="1:5" x14ac:dyDescent="0.2">
      <c r="A82" s="162" t="s">
        <v>154</v>
      </c>
      <c r="B82" s="162">
        <v>6</v>
      </c>
      <c r="C82" s="162" t="str">
        <f t="shared" si="1"/>
        <v>Steel Disc Core 476</v>
      </c>
      <c r="D82" s="162">
        <v>8.7079799999999999E-2</v>
      </c>
      <c r="E82" s="162">
        <v>0.51458599999999999</v>
      </c>
    </row>
    <row r="83" spans="1:5" x14ac:dyDescent="0.2">
      <c r="A83" s="162" t="s">
        <v>155</v>
      </c>
      <c r="B83" s="162">
        <v>8</v>
      </c>
      <c r="C83" s="162" t="str">
        <f t="shared" si="1"/>
        <v>Steel Disc Core 488</v>
      </c>
      <c r="D83" s="162">
        <v>0.122721</v>
      </c>
      <c r="E83" s="162">
        <v>0.521397</v>
      </c>
    </row>
    <row r="84" spans="1:5" x14ac:dyDescent="0.2">
      <c r="A84" s="162" t="s">
        <v>156</v>
      </c>
      <c r="B84" s="162">
        <v>10</v>
      </c>
      <c r="C84" s="162" t="str">
        <f t="shared" si="1"/>
        <v>Steel Disc Core 4910</v>
      </c>
      <c r="D84" s="162">
        <v>0.15915699999999999</v>
      </c>
      <c r="E84" s="162">
        <v>0.52275000000000005</v>
      </c>
    </row>
    <row r="85" spans="1:5" x14ac:dyDescent="0.2">
      <c r="A85" s="162" t="s">
        <v>157</v>
      </c>
      <c r="B85" s="162">
        <v>12</v>
      </c>
      <c r="C85" s="162" t="str">
        <f t="shared" si="1"/>
        <v>Steel Disc Core 5012</v>
      </c>
      <c r="D85" s="162">
        <v>0.196716</v>
      </c>
      <c r="E85" s="162">
        <v>0.52396200000000004</v>
      </c>
    </row>
    <row r="86" spans="1:5" x14ac:dyDescent="0.2">
      <c r="A86" s="162" t="s">
        <v>158</v>
      </c>
      <c r="B86" s="162">
        <v>14</v>
      </c>
      <c r="C86" s="162" t="str">
        <f t="shared" si="1"/>
        <v>Steel Disc Core 5114</v>
      </c>
      <c r="D86" s="162">
        <v>0.230042</v>
      </c>
      <c r="E86" s="162">
        <v>0.51368999999999998</v>
      </c>
    </row>
    <row r="87" spans="1:5" x14ac:dyDescent="0.2">
      <c r="A87" s="162" t="s">
        <v>159</v>
      </c>
      <c r="B87" s="162">
        <v>16</v>
      </c>
      <c r="C87" s="162" t="str">
        <f t="shared" si="1"/>
        <v>Steel Disc Core 5216</v>
      </c>
      <c r="D87" s="162">
        <v>0.25906000000000001</v>
      </c>
      <c r="E87" s="162">
        <v>0.52352900000000002</v>
      </c>
    </row>
    <row r="88" spans="1:5" x14ac:dyDescent="0.2">
      <c r="A88" s="162" t="s">
        <v>100</v>
      </c>
      <c r="B88" s="162">
        <v>2</v>
      </c>
      <c r="C88" s="162" t="str">
        <f t="shared" si="1"/>
        <v>Ceramic Disc Core 452</v>
      </c>
      <c r="D88" s="162">
        <v>3.4075000000000001E-2</v>
      </c>
      <c r="E88" s="162">
        <v>0.48441000000000001</v>
      </c>
    </row>
    <row r="89" spans="1:5" x14ac:dyDescent="0.2">
      <c r="A89" s="162" t="s">
        <v>160</v>
      </c>
      <c r="B89" s="162">
        <v>4</v>
      </c>
      <c r="C89" s="162" t="str">
        <f t="shared" si="1"/>
        <v>Ceramic Disc Core 464</v>
      </c>
      <c r="D89" s="162">
        <v>5.8841999999999998E-2</v>
      </c>
      <c r="E89" s="162">
        <v>0.48848999999999998</v>
      </c>
    </row>
    <row r="90" spans="1:5" x14ac:dyDescent="0.2">
      <c r="A90" s="162" t="s">
        <v>161</v>
      </c>
      <c r="B90" s="162">
        <v>6</v>
      </c>
      <c r="C90" s="162" t="str">
        <f t="shared" si="1"/>
        <v>Ceramic Disc Core 476</v>
      </c>
      <c r="D90" s="162">
        <v>8.7079799999999999E-2</v>
      </c>
      <c r="E90" s="162">
        <v>0.51458599999999999</v>
      </c>
    </row>
    <row r="91" spans="1:5" x14ac:dyDescent="0.2">
      <c r="A91" s="162" t="s">
        <v>162</v>
      </c>
      <c r="B91" s="162">
        <v>8</v>
      </c>
      <c r="C91" s="162" t="str">
        <f t="shared" si="1"/>
        <v>Ceramic Disc Core 488</v>
      </c>
      <c r="D91" s="162">
        <v>0.122721</v>
      </c>
      <c r="E91" s="162">
        <v>0.521397</v>
      </c>
    </row>
    <row r="92" spans="1:5" x14ac:dyDescent="0.2">
      <c r="A92" s="162" t="s">
        <v>163</v>
      </c>
      <c r="B92" s="162">
        <v>10</v>
      </c>
      <c r="C92" s="162" t="str">
        <f t="shared" si="1"/>
        <v>Ceramic Disc Core 4910</v>
      </c>
      <c r="D92" s="162">
        <v>0.15915699999999999</v>
      </c>
      <c r="E92" s="162">
        <v>0.52275000000000005</v>
      </c>
    </row>
    <row r="93" spans="1:5" x14ac:dyDescent="0.2">
      <c r="A93" s="162" t="s">
        <v>131</v>
      </c>
      <c r="B93" s="162">
        <v>6.2E-2</v>
      </c>
      <c r="C93" s="162" t="str">
        <f t="shared" si="1"/>
        <v>CP09 Straight Stream Only0.062</v>
      </c>
      <c r="D93" s="162">
        <v>6.7930000000000004E-3</v>
      </c>
      <c r="E93" s="162">
        <v>0.57869700000000002</v>
      </c>
    </row>
    <row r="94" spans="1:5" x14ac:dyDescent="0.2">
      <c r="A94" s="162" t="s">
        <v>131</v>
      </c>
      <c r="B94" s="162">
        <v>7.8E-2</v>
      </c>
      <c r="C94" s="162" t="str">
        <f t="shared" si="1"/>
        <v>CP09 Straight Stream Only0.078</v>
      </c>
      <c r="D94" s="162">
        <v>0.15414</v>
      </c>
      <c r="E94" s="162">
        <v>0.49787999999999999</v>
      </c>
    </row>
    <row r="95" spans="1:5" x14ac:dyDescent="0.2">
      <c r="A95" s="162" t="s">
        <v>131</v>
      </c>
      <c r="B95" s="162">
        <v>0.125</v>
      </c>
      <c r="C95" s="162" t="str">
        <f t="shared" si="1"/>
        <v>CP09 Straight Stream Only0.125</v>
      </c>
      <c r="D95" s="162">
        <v>0.38874999999999998</v>
      </c>
      <c r="E95" s="162">
        <v>0.51605500000000004</v>
      </c>
    </row>
    <row r="96" spans="1:5" x14ac:dyDescent="0.2">
      <c r="A96" s="162" t="s">
        <v>131</v>
      </c>
      <c r="B96" s="162">
        <v>0.17199999999999999</v>
      </c>
      <c r="C96" s="162" t="str">
        <f t="shared" si="1"/>
        <v>CP09 Straight Stream Only0.172</v>
      </c>
      <c r="D96" s="162">
        <v>0.80813100000000004</v>
      </c>
      <c r="E96" s="162">
        <v>0.46081100000000003</v>
      </c>
    </row>
    <row r="97" spans="1:5" x14ac:dyDescent="0.2">
      <c r="A97" s="162" t="s">
        <v>132</v>
      </c>
      <c r="B97" s="162">
        <v>6.0999999999999999E-2</v>
      </c>
      <c r="C97" s="162" t="str">
        <f t="shared" si="1"/>
        <v>Davidon TriSet Straight Stream Only0.061</v>
      </c>
      <c r="D97" s="162">
        <v>0.107668</v>
      </c>
      <c r="E97" s="162">
        <v>0.49492700000000001</v>
      </c>
    </row>
    <row r="98" spans="1:5" x14ac:dyDescent="0.2">
      <c r="A98" s="162" t="s">
        <v>132</v>
      </c>
      <c r="B98" s="162">
        <v>7.8E-2</v>
      </c>
      <c r="C98" s="162" t="str">
        <f t="shared" si="1"/>
        <v>Davidon TriSet Straight Stream Only0.078</v>
      </c>
      <c r="D98" s="162">
        <v>0.171653</v>
      </c>
      <c r="E98" s="162">
        <v>0.48879899999999998</v>
      </c>
    </row>
    <row r="99" spans="1:5" x14ac:dyDescent="0.2">
      <c r="A99" s="162" t="s">
        <v>132</v>
      </c>
      <c r="B99" s="162">
        <v>0.125</v>
      </c>
      <c r="C99" s="162" t="str">
        <f t="shared" si="1"/>
        <v>Davidon TriSet Straight Stream Only0.125</v>
      </c>
      <c r="D99" s="162">
        <v>0.38169900000000001</v>
      </c>
      <c r="E99" s="162">
        <v>0.50012299999999998</v>
      </c>
    </row>
    <row r="100" spans="1:5" x14ac:dyDescent="0.2">
      <c r="A100" s="162" t="s">
        <v>166</v>
      </c>
      <c r="B100" s="162">
        <v>4</v>
      </c>
      <c r="C100" s="162" t="str">
        <f t="shared" si="1"/>
        <v>CP11TT 110° Flat Fan4</v>
      </c>
      <c r="D100" s="162">
        <v>6.5175999999999998E-2</v>
      </c>
      <c r="E100" s="162">
        <v>0.49385899999999999</v>
      </c>
    </row>
    <row r="101" spans="1:5" x14ac:dyDescent="0.2">
      <c r="A101" s="162" t="s">
        <v>166</v>
      </c>
      <c r="B101" s="162">
        <v>6</v>
      </c>
      <c r="C101" s="162" t="str">
        <f t="shared" si="1"/>
        <v>CP11TT 110° Flat Fan6</v>
      </c>
      <c r="D101" s="162">
        <v>9.3974000000000002E-2</v>
      </c>
      <c r="E101" s="162">
        <v>0.50217500000000004</v>
      </c>
    </row>
    <row r="102" spans="1:5" x14ac:dyDescent="0.2">
      <c r="A102" s="162" t="s">
        <v>166</v>
      </c>
      <c r="B102" s="162">
        <v>8</v>
      </c>
      <c r="C102" s="162" t="str">
        <f t="shared" si="1"/>
        <v>CP11TT 110° Flat Fan8</v>
      </c>
      <c r="D102" s="162">
        <v>0.118101</v>
      </c>
      <c r="E102" s="162">
        <v>0.5616622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Atomization Model</vt:lpstr>
      <vt:lpstr>Model Parameters</vt:lpstr>
      <vt:lpstr>Reference Nozzles</vt:lpstr>
      <vt:lpstr>Nozzle Flow Rates</vt:lpstr>
    </vt:vector>
  </TitlesOfParts>
  <Company>ARS, 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Reviewer</cp:lastModifiedBy>
  <cp:lastPrinted>2011-01-11T13:39:02Z</cp:lastPrinted>
  <dcterms:created xsi:type="dcterms:W3CDTF">1998-11-30T16:43:08Z</dcterms:created>
  <dcterms:modified xsi:type="dcterms:W3CDTF">2017-11-01T16:22:03Z</dcterms:modified>
</cp:coreProperties>
</file>